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ables/table5.xml" ContentType="application/vnd.openxmlformats-officedocument.spreadsheetml.table+xml"/>
  <Override PartName="/xl/comments1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Override PartName="/xl/threadedComments/threadedComment4.xml" ContentType="application/vnd.ms-excel.threadedcomments+xml"/>
  <Override PartName="/xl/threadedComments/threadedComment5.xml" ContentType="application/vnd.ms-excel.threadedcomments+xml"/>
  <Override PartName="/xl/threadedComments/threadedComment6.xml" ContentType="application/vnd.ms-excel.threadedcomments+xml"/>
  <Override PartName="/xl/threadedComments/threadedComment7.xml" ContentType="application/vnd.ms-excel.threadedcomments+xml"/>
  <Override PartName="/xl/threadedComments/threadedComment8.xml" ContentType="application/vnd.ms-excel.threadedcomments+xml"/>
  <Override PartName="/xl/threadedComments/threadedComment9.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alafut\Desktop\Materialy\Štúdia NICL\"/>
    </mc:Choice>
  </mc:AlternateContent>
  <bookViews>
    <workbookView xWindow="-28920" yWindow="-120" windowWidth="29040" windowHeight="15720" tabRatio="914" activeTab="8"/>
  </bookViews>
  <sheets>
    <sheet name="Index" sheetId="9" r:id="rId1"/>
    <sheet name="Súhrn CBA" sheetId="71" r:id="rId2"/>
    <sheet name="Skore" sheetId="80" r:id="rId3"/>
    <sheet name="V_01 Varianty" sheetId="48" r:id="rId4"/>
    <sheet name="V_11 Varianty Validacia" sheetId="52" r:id="rId5"/>
    <sheet name="V_12 Varianty Zariadenia" sheetId="53" r:id="rId6"/>
    <sheet name="N_01 Náklady súhrn" sheetId="21" r:id="rId7"/>
    <sheet name="Náklady 2" sheetId="78" state="hidden" r:id="rId8"/>
    <sheet name="N_02 Vstupy" sheetId="30" r:id="rId9"/>
    <sheet name="N_03 Prieskum BO" sheetId="24" state="hidden" r:id="rId10"/>
    <sheet name="N_031 BO Vendor 1" sheetId="75" state="hidden" r:id="rId11"/>
    <sheet name="N_031 IS ICL" sheetId="79" r:id="rId12"/>
    <sheet name="N_032 BO Vendor 2" sheetId="76" r:id="rId13"/>
    <sheet name="N_033 Prieskum zariadenia" sheetId="74" r:id="rId14"/>
    <sheet name="N_04 Kampaň médiá" sheetId="72" r:id="rId15"/>
    <sheet name="N_042 Kampaň agentura" sheetId="73" r:id="rId16"/>
    <sheet name="Výnosy" sheetId="77" state="hidden" r:id="rId17"/>
    <sheet name="B_01 Benefity súhrn" sheetId="35" r:id="rId18"/>
    <sheet name="B_011 Matica Benefity" sheetId="61" r:id="rId19"/>
    <sheet name="B_02 Benefity varianty" sheetId="36" r:id="rId20"/>
    <sheet name="B_03 Súhrn-vstupy a projekcie" sheetId="25" r:id="rId21"/>
    <sheet name="DM_01_SR počet preprav. osôb" sheetId="28" r:id="rId22"/>
    <sheet name="DM_02_SR výkony" sheetId="29" r:id="rId23"/>
    <sheet name="DM_03_Kraje počet cest. CVD,PAD" sheetId="26" r:id="rId24"/>
    <sheet name="DM_04_Kraje výkony CVD,PAD" sheetId="27" r:id="rId25"/>
    <sheet name="DM_05_Kraje jazdy PAD" sheetId="34" r:id="rId26"/>
    <sheet name="DM_06_Kraje km PAD " sheetId="33" r:id="rId27"/>
    <sheet name="DM_08_Kraje tržby PAD" sheetId="32" r:id="rId28"/>
    <sheet name="DM_09_MHD počet cest." sheetId="37" r:id="rId29"/>
    <sheet name="DM_10_MHD výkony" sheetId="39" r:id="rId30"/>
    <sheet name="DM_11_MHD jazdy" sheetId="40" r:id="rId31"/>
    <sheet name="DM_12_MHD km" sheetId="38" r:id="rId32"/>
    <sheet name="DM_13_MHD tržby" sheetId="41" r:id="rId33"/>
    <sheet name="DM_xx_SR_železnice_ukazovat " sheetId="43" r:id="rId34"/>
    <sheet name="DM_xx_SR_IAD_ukazovatele" sheetId="64" r:id="rId35"/>
    <sheet name="DM_14_Vplyv ITC na počet cest. " sheetId="18" r:id="rId36"/>
    <sheet name="DM_15_Vplyv na rýchlosť vybav." sheetId="19" r:id="rId37"/>
    <sheet name="DM_16_Vyvoj cien cest. lístkov" sheetId="16" r:id="rId38"/>
    <sheet name="DM_xx_Formy nakupu listkov" sheetId="50" r:id="rId39"/>
    <sheet name="DM_xx_Distribúcia presunu" sheetId="58" r:id="rId40"/>
    <sheet name="DM_xx_Prejazdené km" sheetId="59" r:id="rId41"/>
    <sheet name="DM_xx_Doba nákupu lístkov" sheetId="63" r:id="rId42"/>
    <sheet name="Mapa benefitov" sheetId="11" r:id="rId43"/>
    <sheet name="Počty vozidiel" sheetId="10" r:id="rId44"/>
    <sheet name="Počty obyvateľov" sheetId="65" r:id="rId45"/>
    <sheet name="Data SU" sheetId="13" r:id="rId46"/>
    <sheet name="Dáta technológie" sheetId="22" r:id="rId47"/>
    <sheet name="Predajné kanály" sheetId="69" r:id="rId48"/>
    <sheet name="Analýza časov vybavenia" sheetId="70" r:id="rId49"/>
  </sheets>
  <externalReferences>
    <externalReference r:id="rId50"/>
  </externalReferences>
  <definedNames>
    <definedName name="_xlnm._FilterDatabase" localSheetId="23" hidden="1">'DM_03_Kraje počet cest. CVD,PAD'!$A$6:$AB$6</definedName>
    <definedName name="_xlnm._FilterDatabase" localSheetId="24" hidden="1">'DM_04_Kraje výkony CVD,PAD'!$A$18:$AB$18</definedName>
    <definedName name="_xlnm._FilterDatabase" localSheetId="25" hidden="1">'DM_05_Kraje jazdy PAD'!$A$5:$AB$5</definedName>
    <definedName name="_xlnm._FilterDatabase" localSheetId="26" hidden="1">'DM_06_Kraje km PAD '!$A$5:$AB$5</definedName>
    <definedName name="_xlnm._FilterDatabase" localSheetId="27" hidden="1">'DM_08_Kraje tržby PAD'!$A$5:$AB$5</definedName>
    <definedName name="_xlnm._FilterDatabase" localSheetId="28" hidden="1">'DM_09_MHD počet cest.'!#REF!</definedName>
    <definedName name="_xlnm._FilterDatabase" localSheetId="29" hidden="1">'DM_10_MHD výkony'!#REF!</definedName>
    <definedName name="_xlnm._FilterDatabase" localSheetId="30" hidden="1">'DM_11_MHD jazdy'!#REF!</definedName>
    <definedName name="_xlnm._FilterDatabase" localSheetId="31" hidden="1">'DM_12_MHD km'!#REF!</definedName>
    <definedName name="_xlnm._FilterDatabase" localSheetId="32" hidden="1">'DM_13_MHD tržby'!#REF!</definedName>
    <definedName name="_xlnm._FilterDatabase" localSheetId="6" hidden="1">'N_01 Náklady súhrn'!$A$177:$P$219</definedName>
    <definedName name="_xlnm._FilterDatabase" localSheetId="11" hidden="1">'N_031 IS ICL'!$A$3:$I$58</definedName>
    <definedName name="_xlnm._FilterDatabase" localSheetId="7" hidden="1">'Náklady 2'!$A$170:$P$212</definedName>
    <definedName name="_xlnm.Print_Area" localSheetId="44">Tabuľka15[[Dodávateľ]:[SR/kraj]]</definedName>
    <definedName name="_xlnm.Print_Area" localSheetId="3">'V_01 Varianty'!$A:$E</definedName>
    <definedName name="RP" localSheetId="12">[1]G.Asm!$F$35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3" i="80" l="1"/>
  <c r="F28" i="80"/>
  <c r="C35" i="80"/>
  <c r="F25" i="80"/>
  <c r="G25" i="80"/>
  <c r="E25" i="80"/>
  <c r="R40" i="71"/>
  <c r="AI101" i="21"/>
  <c r="AG101" i="21"/>
  <c r="AG90" i="21"/>
  <c r="AH90" i="21" s="1"/>
  <c r="AG91" i="21"/>
  <c r="AH91" i="21"/>
  <c r="AI91" i="21"/>
  <c r="AJ91" i="21"/>
  <c r="AG92" i="21"/>
  <c r="AH92" i="21" s="1"/>
  <c r="AI92" i="21"/>
  <c r="AJ92" i="21"/>
  <c r="AG94" i="21"/>
  <c r="AH94" i="21"/>
  <c r="AI94" i="21"/>
  <c r="AJ94" i="21"/>
  <c r="AG95" i="21"/>
  <c r="AH95" i="21" s="1"/>
  <c r="AI95" i="21"/>
  <c r="AJ95" i="21"/>
  <c r="AG98" i="21"/>
  <c r="AH98" i="21"/>
  <c r="AI98" i="21"/>
  <c r="AJ98" i="21"/>
  <c r="AG99" i="21"/>
  <c r="AH99" i="21" s="1"/>
  <c r="AI99" i="21"/>
  <c r="AJ99" i="21"/>
  <c r="AG104" i="21"/>
  <c r="AH104" i="21"/>
  <c r="AI104" i="21"/>
  <c r="AJ104" i="21"/>
  <c r="AG105" i="21"/>
  <c r="AH105" i="21" s="1"/>
  <c r="AI105" i="21"/>
  <c r="AJ105" i="21"/>
  <c r="AG106" i="21"/>
  <c r="AH106" i="21"/>
  <c r="AI106" i="21"/>
  <c r="AJ106" i="21"/>
  <c r="AG107" i="21"/>
  <c r="AH107" i="21" s="1"/>
  <c r="AI89" i="21"/>
  <c r="AJ89" i="21"/>
  <c r="AG89" i="21"/>
  <c r="AH89" i="21"/>
  <c r="AJ76" i="21"/>
  <c r="AI76" i="21"/>
  <c r="AH76" i="21"/>
  <c r="AG76" i="21"/>
  <c r="AI56" i="21"/>
  <c r="AJ56" i="21"/>
  <c r="AI57" i="21"/>
  <c r="AJ57" i="21"/>
  <c r="AI66" i="21"/>
  <c r="AI59" i="21"/>
  <c r="AJ59" i="21" s="1"/>
  <c r="AI60" i="21"/>
  <c r="AJ60" i="21" s="1"/>
  <c r="AI63" i="21"/>
  <c r="AJ63" i="21" s="1"/>
  <c r="AI64" i="21"/>
  <c r="AJ64" i="21" s="1"/>
  <c r="AI69" i="21"/>
  <c r="AJ69" i="21" s="1"/>
  <c r="AI70" i="21"/>
  <c r="AJ70" i="21" s="1"/>
  <c r="AI71" i="21"/>
  <c r="AJ71" i="21" s="1"/>
  <c r="AG66" i="21"/>
  <c r="AG59" i="21"/>
  <c r="AH59" i="21" s="1"/>
  <c r="AG60" i="21"/>
  <c r="AH60" i="21" s="1"/>
  <c r="AG63" i="21"/>
  <c r="AH63" i="21"/>
  <c r="AG64" i="21"/>
  <c r="AH64" i="21" s="1"/>
  <c r="AG69" i="21"/>
  <c r="AH69" i="21" s="1"/>
  <c r="AG70" i="21"/>
  <c r="AH70" i="21" s="1"/>
  <c r="AG71" i="21"/>
  <c r="AH71" i="21"/>
  <c r="AG72" i="21"/>
  <c r="AH72" i="21" s="1"/>
  <c r="AH41" i="21"/>
  <c r="AI41" i="21"/>
  <c r="AJ41" i="21"/>
  <c r="AG41" i="21"/>
  <c r="AI29" i="21"/>
  <c r="AI20" i="21"/>
  <c r="AJ20" i="21" s="1"/>
  <c r="AI21" i="21"/>
  <c r="AJ21" i="21" s="1"/>
  <c r="AI23" i="21"/>
  <c r="AJ23" i="21" s="1"/>
  <c r="AI25" i="21"/>
  <c r="AJ25" i="21" s="1"/>
  <c r="AI26" i="21"/>
  <c r="AJ26" i="21" s="1"/>
  <c r="AI27" i="21"/>
  <c r="AJ27" i="21"/>
  <c r="AI32" i="21"/>
  <c r="AJ32" i="21" s="1"/>
  <c r="AI33" i="21"/>
  <c r="AJ33" i="21"/>
  <c r="AI34" i="21"/>
  <c r="AJ34" i="21" s="1"/>
  <c r="AG29" i="21"/>
  <c r="AG20" i="21"/>
  <c r="AH20" i="21" s="1"/>
  <c r="AG21" i="21"/>
  <c r="AH21" i="21"/>
  <c r="AG23" i="21"/>
  <c r="AH23" i="21"/>
  <c r="AG25" i="21"/>
  <c r="AH25" i="21" s="1"/>
  <c r="AG26" i="21"/>
  <c r="AH26" i="21" s="1"/>
  <c r="AG27" i="21"/>
  <c r="AH27" i="21"/>
  <c r="AG32" i="21"/>
  <c r="AH32" i="21" s="1"/>
  <c r="AG33" i="21"/>
  <c r="AH33" i="21" s="1"/>
  <c r="AG34" i="21"/>
  <c r="AH34" i="21" s="1"/>
  <c r="AG35" i="21"/>
  <c r="AH35" i="21"/>
  <c r="AG19" i="21"/>
  <c r="AH19" i="21"/>
  <c r="AJ6" i="21"/>
  <c r="AI6" i="21"/>
  <c r="AH6" i="21"/>
  <c r="AG6" i="21"/>
  <c r="S86" i="21"/>
  <c r="T86" i="21"/>
  <c r="S83" i="21"/>
  <c r="T83" i="21"/>
  <c r="Q7" i="21"/>
  <c r="Q12" i="21"/>
  <c r="Q15" i="21"/>
  <c r="Q18" i="21"/>
  <c r="Q22" i="21"/>
  <c r="Q26" i="21"/>
  <c r="Q27" i="21"/>
  <c r="Q32" i="21"/>
  <c r="Q34" i="21"/>
  <c r="H6" i="74"/>
  <c r="H20" i="74" s="1"/>
  <c r="S58" i="21"/>
  <c r="T58" i="21" s="1"/>
  <c r="B35" i="80"/>
  <c r="H75" i="30"/>
  <c r="H77" i="30" s="1"/>
  <c r="H80" i="30" s="1"/>
  <c r="G76" i="30"/>
  <c r="H76" i="30"/>
  <c r="I76" i="30"/>
  <c r="J76" i="30"/>
  <c r="K76" i="30"/>
  <c r="L76" i="30"/>
  <c r="F76" i="30"/>
  <c r="E76" i="30"/>
  <c r="D76" i="30"/>
  <c r="C76" i="30"/>
  <c r="C75" i="30"/>
  <c r="C78" i="30" s="1"/>
  <c r="C81" i="30" s="1"/>
  <c r="D75" i="30"/>
  <c r="D79" i="30" s="1"/>
  <c r="E75" i="30"/>
  <c r="E79" i="30" s="1"/>
  <c r="F75" i="30"/>
  <c r="F77" i="30" s="1"/>
  <c r="F80" i="30" s="1"/>
  <c r="G75" i="30"/>
  <c r="G77" i="30" s="1"/>
  <c r="G80" i="30" s="1"/>
  <c r="G74" i="30" s="1"/>
  <c r="J68" i="21" s="1"/>
  <c r="I75" i="30"/>
  <c r="I77" i="30" s="1"/>
  <c r="I80" i="30" s="1"/>
  <c r="J75" i="30"/>
  <c r="J77" i="30" s="1"/>
  <c r="J80" i="30" s="1"/>
  <c r="K75" i="30"/>
  <c r="K79" i="30" s="1"/>
  <c r="L75" i="30"/>
  <c r="L77" i="30" s="1"/>
  <c r="L80" i="30" s="1"/>
  <c r="E138" i="30"/>
  <c r="F138" i="30" s="1"/>
  <c r="F140" i="30" s="1"/>
  <c r="N120" i="30"/>
  <c r="N119" i="30"/>
  <c r="C79" i="30"/>
  <c r="H78" i="30"/>
  <c r="H81" i="30" s="1"/>
  <c r="C77" i="30"/>
  <c r="C80" i="30" s="1"/>
  <c r="J79" i="30"/>
  <c r="G78" i="30"/>
  <c r="G81" i="30" s="1"/>
  <c r="G79" i="30"/>
  <c r="W6" i="21"/>
  <c r="V6" i="21"/>
  <c r="W41" i="21"/>
  <c r="V41" i="21"/>
  <c r="W76" i="21"/>
  <c r="V76" i="21"/>
  <c r="Z76" i="21"/>
  <c r="Q77" i="21"/>
  <c r="Q83" i="21"/>
  <c r="Q86" i="21"/>
  <c r="Q89" i="21"/>
  <c r="Q98" i="21"/>
  <c r="Q99" i="21"/>
  <c r="Q104" i="21"/>
  <c r="Q105" i="21"/>
  <c r="Q106" i="21"/>
  <c r="Z6" i="21"/>
  <c r="E61" i="79"/>
  <c r="F61" i="79" s="1"/>
  <c r="Z41" i="21"/>
  <c r="H15" i="35"/>
  <c r="Q42" i="21"/>
  <c r="Q48" i="21"/>
  <c r="Q51" i="21"/>
  <c r="Q54" i="21"/>
  <c r="Q64" i="21"/>
  <c r="Q69" i="21"/>
  <c r="Q70" i="21"/>
  <c r="Q71" i="21"/>
  <c r="F31" i="30"/>
  <c r="F30" i="30"/>
  <c r="F29" i="30"/>
  <c r="F28" i="30"/>
  <c r="F27" i="30"/>
  <c r="E64" i="79"/>
  <c r="F64" i="79" s="1"/>
  <c r="E63" i="79"/>
  <c r="E62" i="79"/>
  <c r="F192" i="30" s="1"/>
  <c r="E60" i="79"/>
  <c r="X79" i="21"/>
  <c r="X44" i="21"/>
  <c r="X8" i="21"/>
  <c r="O12" i="21"/>
  <c r="N12" i="21"/>
  <c r="M12" i="21"/>
  <c r="L12" i="21"/>
  <c r="K12" i="21"/>
  <c r="J12" i="21"/>
  <c r="I12" i="21"/>
  <c r="G12" i="21"/>
  <c r="F12" i="21"/>
  <c r="P14" i="21"/>
  <c r="R14" i="21"/>
  <c r="Q14" i="21" s="1"/>
  <c r="X14" i="21"/>
  <c r="O48" i="21"/>
  <c r="N48" i="21"/>
  <c r="M48" i="21"/>
  <c r="L48" i="21"/>
  <c r="L41" i="21" s="1"/>
  <c r="K48" i="21"/>
  <c r="J48" i="21"/>
  <c r="I48" i="21"/>
  <c r="G48" i="21"/>
  <c r="F48" i="21"/>
  <c r="P50" i="21"/>
  <c r="R50" i="21"/>
  <c r="X50" i="21"/>
  <c r="Q50" i="21" s="1"/>
  <c r="X13" i="21"/>
  <c r="X84" i="21"/>
  <c r="Q84" i="21" s="1"/>
  <c r="P85" i="21"/>
  <c r="R85" i="21"/>
  <c r="S85" i="21"/>
  <c r="T85" i="21" s="1"/>
  <c r="X85" i="21"/>
  <c r="Q85" i="21"/>
  <c r="Q79" i="21"/>
  <c r="U50" i="21"/>
  <c r="Y85" i="21"/>
  <c r="G49" i="79"/>
  <c r="G48" i="79"/>
  <c r="F2" i="79"/>
  <c r="E2" i="79"/>
  <c r="H122" i="30"/>
  <c r="H123" i="30"/>
  <c r="H125" i="30"/>
  <c r="H127" i="30"/>
  <c r="H128" i="30"/>
  <c r="G2" i="79"/>
  <c r="F50" i="78"/>
  <c r="V38" i="78"/>
  <c r="P212" i="78"/>
  <c r="T208" i="78"/>
  <c r="F208" i="78"/>
  <c r="O207" i="78"/>
  <c r="N207" i="78"/>
  <c r="M207" i="78"/>
  <c r="L207" i="78"/>
  <c r="K207" i="78"/>
  <c r="J207" i="78"/>
  <c r="I207" i="78"/>
  <c r="H207" i="78"/>
  <c r="G207" i="78"/>
  <c r="P205" i="78"/>
  <c r="T204" i="78"/>
  <c r="R204" i="78"/>
  <c r="P204" i="78"/>
  <c r="T203" i="78"/>
  <c r="R203" i="78"/>
  <c r="P203" i="78"/>
  <c r="T202" i="78"/>
  <c r="R202" i="78"/>
  <c r="P202" i="78"/>
  <c r="T201" i="78"/>
  <c r="R201" i="78"/>
  <c r="P201" i="78"/>
  <c r="T200" i="78"/>
  <c r="R200" i="78"/>
  <c r="P200" i="78"/>
  <c r="T199" i="78"/>
  <c r="R199" i="78"/>
  <c r="P199" i="78"/>
  <c r="T198" i="78"/>
  <c r="R198" i="78"/>
  <c r="P198" i="78"/>
  <c r="T196" i="78"/>
  <c r="F196" i="78"/>
  <c r="R196" i="78" s="1"/>
  <c r="F195" i="78"/>
  <c r="P195" i="78"/>
  <c r="F194" i="78"/>
  <c r="T193" i="78"/>
  <c r="F193" i="78"/>
  <c r="T192" i="78"/>
  <c r="F192" i="78"/>
  <c r="T191" i="78"/>
  <c r="F191" i="78"/>
  <c r="T190" i="78"/>
  <c r="F190" i="78"/>
  <c r="O189" i="78"/>
  <c r="N189" i="78"/>
  <c r="M189" i="78"/>
  <c r="L189" i="78"/>
  <c r="K189" i="78"/>
  <c r="J189" i="78"/>
  <c r="I189" i="78"/>
  <c r="H189" i="78"/>
  <c r="G189" i="78"/>
  <c r="T188" i="78"/>
  <c r="R188" i="78"/>
  <c r="P188" i="78"/>
  <c r="T187" i="78"/>
  <c r="R187" i="78"/>
  <c r="P187" i="78"/>
  <c r="T186" i="78"/>
  <c r="R186" i="78"/>
  <c r="P186" i="78"/>
  <c r="O185" i="78"/>
  <c r="N185" i="78"/>
  <c r="M185" i="78"/>
  <c r="L185" i="78"/>
  <c r="K185" i="78"/>
  <c r="J185" i="78"/>
  <c r="I185" i="78"/>
  <c r="H185" i="78"/>
  <c r="G185" i="78"/>
  <c r="F185" i="78"/>
  <c r="T184" i="78"/>
  <c r="R184" i="78"/>
  <c r="P184" i="78"/>
  <c r="T183" i="78"/>
  <c r="R183" i="78"/>
  <c r="P183" i="78"/>
  <c r="T182" i="78"/>
  <c r="R182" i="78"/>
  <c r="P182" i="78"/>
  <c r="O181" i="78"/>
  <c r="N181" i="78"/>
  <c r="M181" i="78"/>
  <c r="L181" i="78"/>
  <c r="K181" i="78"/>
  <c r="J181" i="78"/>
  <c r="I181" i="78"/>
  <c r="H181" i="78"/>
  <c r="G181" i="78"/>
  <c r="F181" i="78"/>
  <c r="T180" i="78"/>
  <c r="R180" i="78"/>
  <c r="P180" i="78"/>
  <c r="T179" i="78"/>
  <c r="R179" i="78"/>
  <c r="P179" i="78"/>
  <c r="T178" i="78"/>
  <c r="R178" i="78"/>
  <c r="P178" i="78"/>
  <c r="O177" i="78"/>
  <c r="N177" i="78"/>
  <c r="M177" i="78"/>
  <c r="L177" i="78"/>
  <c r="K177" i="78"/>
  <c r="J177" i="78"/>
  <c r="I177" i="78"/>
  <c r="H177" i="78"/>
  <c r="G177" i="78"/>
  <c r="F177" i="78"/>
  <c r="T175" i="78"/>
  <c r="R175" i="78"/>
  <c r="P175" i="78"/>
  <c r="T174" i="78"/>
  <c r="G174" i="78"/>
  <c r="R174" i="78"/>
  <c r="T173" i="78"/>
  <c r="R173" i="78"/>
  <c r="P173" i="78"/>
  <c r="T172" i="78"/>
  <c r="R172" i="78"/>
  <c r="P172" i="78"/>
  <c r="X170" i="78"/>
  <c r="W170" i="78"/>
  <c r="T167" i="78"/>
  <c r="R167" i="78"/>
  <c r="P167" i="78"/>
  <c r="T163" i="78"/>
  <c r="H163" i="78"/>
  <c r="H162" i="78" s="1"/>
  <c r="O162" i="78"/>
  <c r="N162" i="78"/>
  <c r="M162" i="78"/>
  <c r="L162" i="78"/>
  <c r="K162" i="78"/>
  <c r="J162" i="78"/>
  <c r="I162" i="78"/>
  <c r="G162" i="78"/>
  <c r="F162" i="78"/>
  <c r="T160" i="78"/>
  <c r="R160" i="78"/>
  <c r="P160" i="78"/>
  <c r="T159" i="78"/>
  <c r="R159" i="78"/>
  <c r="P159" i="78"/>
  <c r="T158" i="78"/>
  <c r="R158" i="78"/>
  <c r="P158" i="78"/>
  <c r="T157" i="78"/>
  <c r="R157" i="78"/>
  <c r="P157" i="78"/>
  <c r="T156" i="78"/>
  <c r="R156" i="78"/>
  <c r="P156" i="78"/>
  <c r="T155" i="78"/>
  <c r="R155" i="78"/>
  <c r="P155" i="78"/>
  <c r="T154" i="78"/>
  <c r="R154" i="78"/>
  <c r="P154" i="78"/>
  <c r="T153" i="78"/>
  <c r="R153" i="78"/>
  <c r="P153" i="78"/>
  <c r="T151" i="78"/>
  <c r="F151" i="78"/>
  <c r="R151" i="78" s="1"/>
  <c r="T150" i="78"/>
  <c r="F150" i="78"/>
  <c r="R150" i="78" s="1"/>
  <c r="F149" i="78"/>
  <c r="F148" i="78"/>
  <c r="F147" i="78"/>
  <c r="T146" i="78"/>
  <c r="F146" i="78"/>
  <c r="P146" i="78" s="1"/>
  <c r="R146" i="78"/>
  <c r="T145" i="78"/>
  <c r="F145" i="78"/>
  <c r="R145" i="78" s="1"/>
  <c r="O144" i="78"/>
  <c r="N144" i="78"/>
  <c r="M144" i="78"/>
  <c r="L144" i="78"/>
  <c r="K144" i="78"/>
  <c r="J144" i="78"/>
  <c r="I144" i="78"/>
  <c r="H144" i="78"/>
  <c r="G144" i="78"/>
  <c r="T143" i="78"/>
  <c r="R143" i="78"/>
  <c r="P143" i="78"/>
  <c r="T142" i="78"/>
  <c r="R142" i="78"/>
  <c r="P142" i="78"/>
  <c r="T141" i="78"/>
  <c r="R141" i="78"/>
  <c r="P141" i="78"/>
  <c r="O140" i="78"/>
  <c r="N140" i="78"/>
  <c r="M140" i="78"/>
  <c r="L140" i="78"/>
  <c r="K140" i="78"/>
  <c r="J140" i="78"/>
  <c r="I140" i="78"/>
  <c r="H140" i="78"/>
  <c r="G140" i="78"/>
  <c r="F140" i="78"/>
  <c r="T139" i="78"/>
  <c r="R139" i="78"/>
  <c r="P139" i="78"/>
  <c r="T138" i="78"/>
  <c r="R138" i="78"/>
  <c r="P138" i="78"/>
  <c r="T137" i="78"/>
  <c r="R137" i="78"/>
  <c r="P137" i="78"/>
  <c r="O136" i="78"/>
  <c r="N136" i="78"/>
  <c r="M136" i="78"/>
  <c r="L136" i="78"/>
  <c r="K136" i="78"/>
  <c r="J136" i="78"/>
  <c r="I136" i="78"/>
  <c r="H136" i="78"/>
  <c r="G136" i="78"/>
  <c r="F136" i="78"/>
  <c r="T135" i="78"/>
  <c r="R135" i="78"/>
  <c r="P135" i="78"/>
  <c r="T134" i="78"/>
  <c r="R134" i="78"/>
  <c r="P134" i="78"/>
  <c r="T133" i="78"/>
  <c r="R133" i="78"/>
  <c r="P133" i="78"/>
  <c r="O132" i="78"/>
  <c r="N132" i="78"/>
  <c r="M132" i="78"/>
  <c r="L132" i="78"/>
  <c r="K132" i="78"/>
  <c r="J132" i="78"/>
  <c r="I132" i="78"/>
  <c r="H132" i="78"/>
  <c r="G132" i="78"/>
  <c r="F132" i="78"/>
  <c r="T130" i="78"/>
  <c r="R130" i="78"/>
  <c r="P130" i="78"/>
  <c r="T129" i="78"/>
  <c r="G129" i="78"/>
  <c r="P129" i="78" s="1"/>
  <c r="T128" i="78"/>
  <c r="R128" i="78"/>
  <c r="P128" i="78"/>
  <c r="T127" i="78"/>
  <c r="R127" i="78"/>
  <c r="P127" i="78"/>
  <c r="O99" i="78"/>
  <c r="N99" i="78"/>
  <c r="M99" i="78"/>
  <c r="L99" i="78"/>
  <c r="K99" i="78"/>
  <c r="F99" i="78"/>
  <c r="O97" i="78"/>
  <c r="N97" i="78"/>
  <c r="M97" i="78"/>
  <c r="L97" i="78"/>
  <c r="K97" i="78"/>
  <c r="J97" i="78"/>
  <c r="T89" i="78"/>
  <c r="R89" i="78"/>
  <c r="P89" i="78"/>
  <c r="O86" i="78"/>
  <c r="N86" i="78"/>
  <c r="M86" i="78"/>
  <c r="L86" i="78"/>
  <c r="K86" i="78"/>
  <c r="J86" i="78"/>
  <c r="I86" i="78"/>
  <c r="H86" i="78"/>
  <c r="O85" i="78"/>
  <c r="N85" i="78"/>
  <c r="M85" i="78"/>
  <c r="L85" i="78"/>
  <c r="K85" i="78"/>
  <c r="J85" i="78"/>
  <c r="I85" i="78"/>
  <c r="H85" i="78"/>
  <c r="F83" i="78"/>
  <c r="T81" i="78"/>
  <c r="O80" i="78"/>
  <c r="N80" i="78"/>
  <c r="M80" i="78"/>
  <c r="L80" i="78"/>
  <c r="K80" i="78"/>
  <c r="J80" i="78"/>
  <c r="I80" i="78"/>
  <c r="G80" i="78"/>
  <c r="F80" i="78"/>
  <c r="T79" i="78"/>
  <c r="T78" i="78"/>
  <c r="O77" i="78"/>
  <c r="N77" i="78"/>
  <c r="M77" i="78"/>
  <c r="L77" i="78"/>
  <c r="L71" i="78" s="1"/>
  <c r="K77" i="78"/>
  <c r="K71" i="78" s="1"/>
  <c r="J77" i="78"/>
  <c r="I77" i="78"/>
  <c r="G77" i="78"/>
  <c r="F77" i="78"/>
  <c r="T76" i="78"/>
  <c r="T75" i="78"/>
  <c r="T74" i="78"/>
  <c r="T73" i="78"/>
  <c r="G73" i="78"/>
  <c r="R73" i="78" s="1"/>
  <c r="O72" i="78"/>
  <c r="N72" i="78"/>
  <c r="M72" i="78"/>
  <c r="L72" i="78"/>
  <c r="K72" i="78"/>
  <c r="J72" i="78"/>
  <c r="J71" i="78" s="1"/>
  <c r="I72" i="78"/>
  <c r="I71" i="78" s="1"/>
  <c r="F72" i="78"/>
  <c r="X70" i="78"/>
  <c r="W70" i="78"/>
  <c r="O66" i="78"/>
  <c r="N66" i="78"/>
  <c r="M66" i="78"/>
  <c r="L66" i="78"/>
  <c r="K66" i="78"/>
  <c r="F66" i="78"/>
  <c r="O64" i="78"/>
  <c r="N64" i="78"/>
  <c r="M64" i="78"/>
  <c r="L64" i="78"/>
  <c r="K64" i="78"/>
  <c r="J64" i="78"/>
  <c r="T56" i="78"/>
  <c r="R56" i="78"/>
  <c r="S56" i="78" s="1"/>
  <c r="P56" i="78"/>
  <c r="O53" i="78"/>
  <c r="N53" i="78"/>
  <c r="M53" i="78"/>
  <c r="L53" i="78"/>
  <c r="K53" i="78"/>
  <c r="T53" i="78" s="1"/>
  <c r="J53" i="78"/>
  <c r="I53" i="78"/>
  <c r="H53" i="78"/>
  <c r="R53" i="78" s="1"/>
  <c r="O52" i="78"/>
  <c r="N52" i="78"/>
  <c r="M52" i="78"/>
  <c r="L52" i="78"/>
  <c r="K52" i="78"/>
  <c r="J52" i="78"/>
  <c r="I52" i="78"/>
  <c r="H52" i="78"/>
  <c r="T48" i="78"/>
  <c r="O47" i="78"/>
  <c r="N47" i="78"/>
  <c r="M47" i="78"/>
  <c r="L47" i="78"/>
  <c r="K47" i="78"/>
  <c r="J47" i="78"/>
  <c r="I47" i="78"/>
  <c r="I38" i="78" s="1"/>
  <c r="G47" i="78"/>
  <c r="F47" i="78"/>
  <c r="T46" i="78"/>
  <c r="T45" i="78"/>
  <c r="O44" i="78"/>
  <c r="O38" i="78" s="1"/>
  <c r="N44" i="78"/>
  <c r="M44" i="78"/>
  <c r="L44" i="78"/>
  <c r="K44" i="78"/>
  <c r="J44" i="78"/>
  <c r="I44" i="78"/>
  <c r="G44" i="78"/>
  <c r="F44" i="78"/>
  <c r="F38" i="78" s="1"/>
  <c r="T43" i="78"/>
  <c r="T42" i="78"/>
  <c r="T41" i="78"/>
  <c r="T40" i="78"/>
  <c r="G40" i="78"/>
  <c r="O39" i="78"/>
  <c r="N39" i="78"/>
  <c r="M39" i="78"/>
  <c r="M38" i="78" s="1"/>
  <c r="L39" i="78"/>
  <c r="K39" i="78"/>
  <c r="K38" i="78" s="1"/>
  <c r="J39" i="78"/>
  <c r="I39" i="78"/>
  <c r="F39" i="78"/>
  <c r="X37" i="78"/>
  <c r="O33" i="78"/>
  <c r="N33" i="78"/>
  <c r="M33" i="78"/>
  <c r="L33" i="78"/>
  <c r="K33" i="78"/>
  <c r="F33" i="78"/>
  <c r="O31" i="78"/>
  <c r="N31" i="78"/>
  <c r="M31" i="78"/>
  <c r="L31" i="78"/>
  <c r="K31" i="78"/>
  <c r="J31" i="78"/>
  <c r="T25" i="78"/>
  <c r="R25" i="78"/>
  <c r="P25" i="78"/>
  <c r="T24" i="78"/>
  <c r="R24" i="78"/>
  <c r="P24" i="78"/>
  <c r="Z24" i="78" s="1"/>
  <c r="T23" i="78"/>
  <c r="U23" i="78" s="1"/>
  <c r="R23" i="78"/>
  <c r="P23" i="78"/>
  <c r="F17" i="78"/>
  <c r="T15" i="78"/>
  <c r="R15" i="78"/>
  <c r="P15" i="78"/>
  <c r="S15" i="78" s="1"/>
  <c r="O14" i="78"/>
  <c r="N14" i="78"/>
  <c r="N5" i="78" s="1"/>
  <c r="M14" i="78"/>
  <c r="L14" i="78"/>
  <c r="K14" i="78"/>
  <c r="J14" i="78"/>
  <c r="I14" i="78"/>
  <c r="H14" i="78"/>
  <c r="G14" i="78"/>
  <c r="P14" i="78" s="1"/>
  <c r="F14" i="78"/>
  <c r="T13" i="78"/>
  <c r="T12" i="78"/>
  <c r="O11" i="78"/>
  <c r="N11" i="78"/>
  <c r="M11" i="78"/>
  <c r="L11" i="78"/>
  <c r="K11" i="78"/>
  <c r="K5" i="78" s="1"/>
  <c r="J11" i="78"/>
  <c r="I11" i="78"/>
  <c r="G11" i="78"/>
  <c r="F11" i="78"/>
  <c r="T10" i="78"/>
  <c r="T9" i="78"/>
  <c r="T8" i="78"/>
  <c r="T7" i="78"/>
  <c r="G7" i="78"/>
  <c r="R7" i="78" s="1"/>
  <c r="S7" i="78" s="1"/>
  <c r="O6" i="78"/>
  <c r="N6" i="78"/>
  <c r="M6" i="78"/>
  <c r="L6" i="78"/>
  <c r="K6" i="78"/>
  <c r="J6" i="78"/>
  <c r="I6" i="78"/>
  <c r="I5" i="78" s="1"/>
  <c r="F6" i="78"/>
  <c r="X4" i="78"/>
  <c r="W4" i="78"/>
  <c r="F89" i="21"/>
  <c r="F54" i="21"/>
  <c r="F18" i="21"/>
  <c r="F185" i="30"/>
  <c r="G185" i="30" s="1"/>
  <c r="N21" i="78" s="1"/>
  <c r="F178" i="30"/>
  <c r="H24" i="24"/>
  <c r="F21" i="76"/>
  <c r="F20" i="76"/>
  <c r="F19" i="76"/>
  <c r="F18" i="76"/>
  <c r="F17" i="76"/>
  <c r="F16" i="76"/>
  <c r="F15" i="76"/>
  <c r="F14" i="76"/>
  <c r="F13" i="76"/>
  <c r="F12" i="76"/>
  <c r="F11" i="76"/>
  <c r="F10" i="76"/>
  <c r="F9" i="76"/>
  <c r="F8" i="76"/>
  <c r="F7" i="76"/>
  <c r="F6" i="76"/>
  <c r="F5" i="76"/>
  <c r="F4" i="76"/>
  <c r="F3" i="76"/>
  <c r="G171" i="78"/>
  <c r="U15" i="78"/>
  <c r="R163" i="78"/>
  <c r="P150" i="78"/>
  <c r="P196" i="78"/>
  <c r="P7" i="78"/>
  <c r="H43" i="78"/>
  <c r="R43" i="78" s="1"/>
  <c r="N38" i="78"/>
  <c r="F71" i="78"/>
  <c r="R52" i="78"/>
  <c r="R192" i="78"/>
  <c r="P192" i="78"/>
  <c r="S23" i="78"/>
  <c r="R85" i="78"/>
  <c r="P174" i="78"/>
  <c r="R40" i="78"/>
  <c r="P208" i="78"/>
  <c r="X87" i="21"/>
  <c r="Q87" i="21" s="1"/>
  <c r="X82" i="21"/>
  <c r="Q82" i="21" s="1"/>
  <c r="X81" i="21"/>
  <c r="Q81" i="21" s="1"/>
  <c r="X80" i="21"/>
  <c r="Q80" i="21" s="1"/>
  <c r="X78" i="21"/>
  <c r="X52" i="21"/>
  <c r="Q52" i="21"/>
  <c r="X49" i="21"/>
  <c r="Q49" i="21" s="1"/>
  <c r="X47" i="21"/>
  <c r="Q47" i="21" s="1"/>
  <c r="X46" i="21"/>
  <c r="Q46" i="21" s="1"/>
  <c r="X45" i="21"/>
  <c r="Q45" i="21" s="1"/>
  <c r="X43" i="21"/>
  <c r="Q43" i="21" s="1"/>
  <c r="X9" i="21"/>
  <c r="X10" i="21"/>
  <c r="X11" i="21"/>
  <c r="F27" i="75"/>
  <c r="F26" i="75"/>
  <c r="F25" i="75"/>
  <c r="F24" i="75"/>
  <c r="F23" i="75"/>
  <c r="F22" i="75"/>
  <c r="F21" i="75"/>
  <c r="F20" i="75"/>
  <c r="F19" i="75"/>
  <c r="F18" i="75"/>
  <c r="F17" i="75"/>
  <c r="F16" i="75"/>
  <c r="F15" i="75"/>
  <c r="F14" i="75"/>
  <c r="F13" i="75"/>
  <c r="E12" i="75"/>
  <c r="F12" i="75" s="1"/>
  <c r="F11" i="75"/>
  <c r="F10" i="75"/>
  <c r="F9" i="75"/>
  <c r="F8" i="75"/>
  <c r="F7" i="75"/>
  <c r="F5" i="75"/>
  <c r="F4" i="75"/>
  <c r="F3" i="75"/>
  <c r="F34" i="74"/>
  <c r="H145" i="30"/>
  <c r="I145" i="30" s="1"/>
  <c r="J100" i="30"/>
  <c r="G186" i="30"/>
  <c r="J88" i="78" s="1"/>
  <c r="D200" i="30"/>
  <c r="I88" i="78"/>
  <c r="L22" i="78"/>
  <c r="K22" i="78"/>
  <c r="H55" i="78"/>
  <c r="O55" i="78"/>
  <c r="K88" i="78"/>
  <c r="N59" i="21"/>
  <c r="M59" i="21"/>
  <c r="I59" i="21"/>
  <c r="J94" i="21"/>
  <c r="K94" i="21"/>
  <c r="X95" i="21"/>
  <c r="Q95" i="21" s="1"/>
  <c r="R95" i="21"/>
  <c r="U95" i="21" s="1"/>
  <c r="X60" i="21"/>
  <c r="Q60" i="21" s="1"/>
  <c r="R60" i="21"/>
  <c r="S60" i="21" s="1"/>
  <c r="T60" i="21" s="1"/>
  <c r="K34" i="21"/>
  <c r="L34" i="21"/>
  <c r="M34" i="21"/>
  <c r="N34" i="21"/>
  <c r="O34" i="21"/>
  <c r="J32" i="21"/>
  <c r="K32" i="21"/>
  <c r="L32" i="21"/>
  <c r="M32" i="21"/>
  <c r="N32" i="21"/>
  <c r="O32" i="21"/>
  <c r="G15" i="21"/>
  <c r="H15" i="21"/>
  <c r="I15" i="21"/>
  <c r="J15" i="21"/>
  <c r="K15" i="21"/>
  <c r="K6" i="21" s="1"/>
  <c r="L15" i="21"/>
  <c r="M15" i="21"/>
  <c r="N15" i="21"/>
  <c r="O15" i="21"/>
  <c r="I7" i="21"/>
  <c r="I6" i="21" s="1"/>
  <c r="J7" i="21"/>
  <c r="J6" i="21" s="1"/>
  <c r="K7" i="21"/>
  <c r="L7" i="21"/>
  <c r="M7" i="21"/>
  <c r="N7" i="21"/>
  <c r="O7" i="21"/>
  <c r="O6" i="21" s="1"/>
  <c r="I42" i="21"/>
  <c r="I41" i="21" s="1"/>
  <c r="J42" i="21"/>
  <c r="J41" i="21" s="1"/>
  <c r="K42" i="21"/>
  <c r="K41" i="21" s="1"/>
  <c r="L42" i="21"/>
  <c r="M42" i="21"/>
  <c r="N42" i="21"/>
  <c r="O42" i="21"/>
  <c r="O41" i="21" s="1"/>
  <c r="F42" i="21"/>
  <c r="F41" i="21" s="1"/>
  <c r="K145" i="30"/>
  <c r="L145" i="30" s="1"/>
  <c r="E145" i="30"/>
  <c r="F145" i="30" s="1"/>
  <c r="H25" i="74"/>
  <c r="I25" i="74" s="1"/>
  <c r="G101" i="30"/>
  <c r="E101" i="30"/>
  <c r="C101" i="30"/>
  <c r="C98" i="30"/>
  <c r="C99" i="30"/>
  <c r="C100" i="30"/>
  <c r="J17" i="71"/>
  <c r="J16" i="71"/>
  <c r="G17" i="71"/>
  <c r="G16" i="71"/>
  <c r="D17" i="71"/>
  <c r="D16" i="71"/>
  <c r="K6" i="74"/>
  <c r="E120" i="30"/>
  <c r="E121" i="30"/>
  <c r="E123" i="30"/>
  <c r="E124" i="30"/>
  <c r="E125" i="30"/>
  <c r="E126" i="30"/>
  <c r="E127" i="30"/>
  <c r="E128" i="30"/>
  <c r="E129" i="30"/>
  <c r="E130" i="30"/>
  <c r="E131" i="30"/>
  <c r="E132" i="30"/>
  <c r="E118" i="30"/>
  <c r="K122" i="30"/>
  <c r="L122" i="30" s="1"/>
  <c r="K124" i="30"/>
  <c r="L124" i="30" s="1"/>
  <c r="K127" i="30"/>
  <c r="K129" i="30"/>
  <c r="K131" i="30"/>
  <c r="K132" i="30"/>
  <c r="L132" i="30" s="1"/>
  <c r="H130" i="30"/>
  <c r="H131" i="30"/>
  <c r="H132" i="30"/>
  <c r="C119" i="30"/>
  <c r="C120" i="30"/>
  <c r="I120" i="30" s="1"/>
  <c r="C121" i="30"/>
  <c r="F121" i="30" s="1"/>
  <c r="C122" i="30"/>
  <c r="C123" i="30"/>
  <c r="C124" i="30"/>
  <c r="I124" i="30" s="1"/>
  <c r="C125" i="30"/>
  <c r="C126" i="30"/>
  <c r="C127" i="30"/>
  <c r="C128" i="30"/>
  <c r="C129" i="30"/>
  <c r="I129" i="30" s="1"/>
  <c r="C130" i="30"/>
  <c r="C131" i="30"/>
  <c r="C132" i="30"/>
  <c r="C145" i="30"/>
  <c r="C146" i="30"/>
  <c r="F146" i="30" s="1"/>
  <c r="C118" i="30"/>
  <c r="F118" i="30" s="1"/>
  <c r="C37" i="74"/>
  <c r="F37" i="74" s="1"/>
  <c r="F35" i="74"/>
  <c r="L33" i="74"/>
  <c r="I33" i="74"/>
  <c r="F33" i="74"/>
  <c r="L32" i="74"/>
  <c r="I32" i="74"/>
  <c r="F32" i="74"/>
  <c r="K26" i="74"/>
  <c r="I26" i="74"/>
  <c r="L25" i="74"/>
  <c r="I24" i="74"/>
  <c r="F24" i="74"/>
  <c r="L23" i="74"/>
  <c r="I23" i="74"/>
  <c r="F22" i="74"/>
  <c r="F21" i="74"/>
  <c r="F19" i="74"/>
  <c r="K14" i="74"/>
  <c r="H14" i="74"/>
  <c r="E14" i="74"/>
  <c r="K13" i="74"/>
  <c r="K35" i="74" s="1"/>
  <c r="H13" i="74"/>
  <c r="E13" i="74"/>
  <c r="E10" i="74"/>
  <c r="K24" i="74" s="1"/>
  <c r="E9" i="74"/>
  <c r="F23" i="74"/>
  <c r="E8" i="74"/>
  <c r="K22" i="74"/>
  <c r="K7" i="74"/>
  <c r="E7" i="74"/>
  <c r="E6" i="74"/>
  <c r="E20" i="74" s="1"/>
  <c r="E119" i="30" s="1"/>
  <c r="E5" i="74"/>
  <c r="E92" i="30"/>
  <c r="E93" i="30"/>
  <c r="E94" i="30"/>
  <c r="E91" i="30"/>
  <c r="K9" i="74"/>
  <c r="K31" i="74" s="1"/>
  <c r="K130" i="30" s="1"/>
  <c r="L130" i="30" s="1"/>
  <c r="E37" i="74"/>
  <c r="E122" i="30"/>
  <c r="F122" i="30"/>
  <c r="I122" i="30"/>
  <c r="I131" i="30"/>
  <c r="I125" i="30"/>
  <c r="F131" i="30"/>
  <c r="L131" i="30"/>
  <c r="F123" i="30"/>
  <c r="I123" i="30"/>
  <c r="F132" i="30"/>
  <c r="H7" i="74"/>
  <c r="H5" i="74"/>
  <c r="K19" i="74" s="1"/>
  <c r="K5" i="74"/>
  <c r="F8" i="74"/>
  <c r="K10" i="74"/>
  <c r="H22" i="74"/>
  <c r="I22" i="74" s="1"/>
  <c r="H121" i="30"/>
  <c r="I121" i="30" s="1"/>
  <c r="K8" i="74"/>
  <c r="H30" i="74" s="1"/>
  <c r="I30" i="74" s="1"/>
  <c r="H9" i="74"/>
  <c r="K37" i="74"/>
  <c r="H37" i="74"/>
  <c r="I37" i="74" s="1"/>
  <c r="H8" i="74"/>
  <c r="K27" i="74" s="1"/>
  <c r="K126" i="30" s="1"/>
  <c r="H10" i="74"/>
  <c r="K29" i="74" s="1"/>
  <c r="E113" i="30"/>
  <c r="I67" i="78" s="1"/>
  <c r="I66" i="78" s="1"/>
  <c r="I72" i="21"/>
  <c r="F113" i="30"/>
  <c r="J34" i="78" s="1"/>
  <c r="J33" i="78" s="1"/>
  <c r="P95" i="21"/>
  <c r="AA95" i="21" s="1"/>
  <c r="O106" i="21"/>
  <c r="N106" i="21"/>
  <c r="M106" i="21"/>
  <c r="L106" i="21"/>
  <c r="K106" i="21"/>
  <c r="F106" i="21"/>
  <c r="O104" i="21"/>
  <c r="N104" i="21"/>
  <c r="M104" i="21"/>
  <c r="L104" i="21"/>
  <c r="K104" i="21"/>
  <c r="J104" i="21"/>
  <c r="O86" i="21"/>
  <c r="N86" i="21"/>
  <c r="M86" i="21"/>
  <c r="L86" i="21"/>
  <c r="K86" i="21"/>
  <c r="J86" i="21"/>
  <c r="I86" i="21"/>
  <c r="G86" i="21"/>
  <c r="F86" i="21"/>
  <c r="F76" i="21" s="1"/>
  <c r="O83" i="21"/>
  <c r="N83" i="21"/>
  <c r="M83" i="21"/>
  <c r="M76" i="21" s="1"/>
  <c r="L83" i="21"/>
  <c r="K83" i="21"/>
  <c r="J83" i="21"/>
  <c r="I83" i="21"/>
  <c r="G83" i="21"/>
  <c r="F83" i="21"/>
  <c r="O77" i="21"/>
  <c r="O76" i="21" s="1"/>
  <c r="N77" i="21"/>
  <c r="N76" i="21" s="1"/>
  <c r="M77" i="21"/>
  <c r="L77" i="21"/>
  <c r="K77" i="21"/>
  <c r="J77" i="21"/>
  <c r="I77" i="21"/>
  <c r="I76" i="21" s="1"/>
  <c r="F77" i="21"/>
  <c r="O71" i="21"/>
  <c r="N71" i="21"/>
  <c r="M71" i="21"/>
  <c r="L71" i="21"/>
  <c r="K71" i="21"/>
  <c r="F71" i="21"/>
  <c r="O69" i="21"/>
  <c r="N69" i="21"/>
  <c r="M69" i="21"/>
  <c r="L69" i="21"/>
  <c r="K69" i="21"/>
  <c r="J69" i="21"/>
  <c r="O51" i="21"/>
  <c r="N51" i="21"/>
  <c r="M51" i="21"/>
  <c r="M41" i="21" s="1"/>
  <c r="L51" i="21"/>
  <c r="K51" i="21"/>
  <c r="J51" i="21"/>
  <c r="I51" i="21"/>
  <c r="G51" i="21"/>
  <c r="F51" i="21"/>
  <c r="F34" i="21"/>
  <c r="P16" i="21"/>
  <c r="AA16" i="21" s="1"/>
  <c r="P23" i="21"/>
  <c r="P60" i="21"/>
  <c r="AA60" i="21" s="1"/>
  <c r="AC75" i="21"/>
  <c r="J6" i="71" s="1"/>
  <c r="AB75" i="21"/>
  <c r="I6" i="71" s="1"/>
  <c r="AC40" i="21"/>
  <c r="J5" i="71" s="1"/>
  <c r="AB40" i="21"/>
  <c r="I5" i="71" s="1"/>
  <c r="X23" i="21"/>
  <c r="R23" i="21"/>
  <c r="Q23" i="21" s="1"/>
  <c r="X16" i="21"/>
  <c r="J100" i="78"/>
  <c r="J99" i="78" s="1"/>
  <c r="J67" i="78"/>
  <c r="J66" i="78" s="1"/>
  <c r="N54" i="78"/>
  <c r="M21" i="78"/>
  <c r="O87" i="78"/>
  <c r="I87" i="78"/>
  <c r="L21" i="78"/>
  <c r="H87" i="78"/>
  <c r="I54" i="78"/>
  <c r="I21" i="78"/>
  <c r="H54" i="78"/>
  <c r="H21" i="78"/>
  <c r="R21" i="78" s="1"/>
  <c r="L87" i="78"/>
  <c r="J21" i="78"/>
  <c r="Y16" i="21"/>
  <c r="U60" i="21"/>
  <c r="Y60" i="21"/>
  <c r="X6" i="21"/>
  <c r="J93" i="21"/>
  <c r="I93" i="21"/>
  <c r="H93" i="21"/>
  <c r="V93" i="21" s="1"/>
  <c r="AG93" i="21" s="1"/>
  <c r="AH93" i="21" s="1"/>
  <c r="K93" i="21"/>
  <c r="L93" i="21"/>
  <c r="H139" i="30"/>
  <c r="I139" i="30" s="1"/>
  <c r="L37" i="74"/>
  <c r="N41" i="21"/>
  <c r="H58" i="21"/>
  <c r="V58" i="21" s="1"/>
  <c r="AG58" i="21" s="1"/>
  <c r="AH58" i="21" s="1"/>
  <c r="M58" i="21"/>
  <c r="N58" i="21"/>
  <c r="O58" i="21"/>
  <c r="I107" i="21"/>
  <c r="I106" i="21" s="1"/>
  <c r="J107" i="21"/>
  <c r="I58" i="21"/>
  <c r="J58" i="21"/>
  <c r="K58" i="21"/>
  <c r="I22" i="21"/>
  <c r="N22" i="21"/>
  <c r="O22" i="21"/>
  <c r="M22" i="21"/>
  <c r="L22" i="21"/>
  <c r="L76" i="21"/>
  <c r="K76" i="21"/>
  <c r="J76" i="21"/>
  <c r="F7" i="21"/>
  <c r="R87" i="78"/>
  <c r="R54" i="78"/>
  <c r="P45" i="78"/>
  <c r="Z45" i="78" s="1"/>
  <c r="R45" i="78"/>
  <c r="G188" i="30"/>
  <c r="E8" i="24"/>
  <c r="E27" i="24"/>
  <c r="E26" i="24"/>
  <c r="U45" i="78"/>
  <c r="G180" i="30"/>
  <c r="O20" i="78" s="1"/>
  <c r="I57" i="21"/>
  <c r="H92" i="21"/>
  <c r="R92" i="21"/>
  <c r="I92" i="21"/>
  <c r="P92" i="21" s="1"/>
  <c r="H57" i="21"/>
  <c r="R57" i="21" s="1"/>
  <c r="S57" i="21" s="1"/>
  <c r="T57" i="21" s="1"/>
  <c r="N57" i="21"/>
  <c r="O57" i="21"/>
  <c r="K57" i="21"/>
  <c r="L57" i="21"/>
  <c r="J57" i="21"/>
  <c r="X57" i="21" s="1"/>
  <c r="M57" i="21"/>
  <c r="L92" i="21"/>
  <c r="J92" i="21"/>
  <c r="K92" i="21"/>
  <c r="O92" i="21"/>
  <c r="N92" i="21"/>
  <c r="M92" i="21"/>
  <c r="F8" i="24"/>
  <c r="J8" i="24" s="1"/>
  <c r="F27" i="24"/>
  <c r="J27" i="24" s="1"/>
  <c r="F26" i="24"/>
  <c r="J26" i="24" s="1"/>
  <c r="J20" i="24"/>
  <c r="E13" i="24"/>
  <c r="F13" i="24"/>
  <c r="J13" i="24" s="1"/>
  <c r="G187" i="30"/>
  <c r="F12" i="24"/>
  <c r="J12" i="24"/>
  <c r="F14" i="24"/>
  <c r="J14" i="24" s="1"/>
  <c r="F15" i="24"/>
  <c r="J15" i="24" s="1"/>
  <c r="F18" i="24"/>
  <c r="J18" i="24"/>
  <c r="F23" i="24"/>
  <c r="J23" i="24"/>
  <c r="F24" i="24"/>
  <c r="J24" i="24" s="1"/>
  <c r="J25" i="24"/>
  <c r="F28" i="24"/>
  <c r="J28" i="24" s="1"/>
  <c r="F4" i="24"/>
  <c r="J4" i="24" s="1"/>
  <c r="F6" i="24"/>
  <c r="J6" i="24"/>
  <c r="F9" i="24"/>
  <c r="J9" i="24" s="1"/>
  <c r="F3" i="24"/>
  <c r="J3" i="24" s="1"/>
  <c r="E16" i="73"/>
  <c r="E15" i="73"/>
  <c r="E14" i="73"/>
  <c r="E13" i="73"/>
  <c r="E12" i="73"/>
  <c r="E11" i="73"/>
  <c r="E10" i="73"/>
  <c r="E5" i="73"/>
  <c r="E4" i="73"/>
  <c r="H21" i="21"/>
  <c r="R21" i="21" s="1"/>
  <c r="Q21" i="21" s="1"/>
  <c r="N20" i="78"/>
  <c r="M20" i="78"/>
  <c r="L20" i="78"/>
  <c r="J20" i="78"/>
  <c r="I20" i="78"/>
  <c r="H20" i="78"/>
  <c r="R20" i="78" s="1"/>
  <c r="K20" i="78"/>
  <c r="J21" i="21"/>
  <c r="N21" i="21"/>
  <c r="M21" i="21"/>
  <c r="L21" i="21"/>
  <c r="K21" i="21"/>
  <c r="I21" i="21"/>
  <c r="O21" i="21"/>
  <c r="G189" i="30"/>
  <c r="H82" i="21"/>
  <c r="R82" i="21" s="1"/>
  <c r="S82" i="21"/>
  <c r="T82" i="21" s="1"/>
  <c r="G78" i="21"/>
  <c r="P78" i="21" s="1"/>
  <c r="Y78" i="21" s="1"/>
  <c r="G43" i="21"/>
  <c r="R43" i="21" s="1"/>
  <c r="G183" i="30"/>
  <c r="I19" i="78" s="1"/>
  <c r="H39" i="72" a="1"/>
  <c r="H39" i="72" s="1"/>
  <c r="U35" i="72"/>
  <c r="V35" i="72" s="1"/>
  <c r="U34" i="72"/>
  <c r="V34" i="72" s="1"/>
  <c r="U33" i="72"/>
  <c r="V33" i="72" s="1"/>
  <c r="U32" i="72"/>
  <c r="V32" i="72" s="1"/>
  <c r="U31" i="72"/>
  <c r="V31" i="72" s="1"/>
  <c r="U30" i="72"/>
  <c r="V30" i="72" s="1"/>
  <c r="U29" i="72"/>
  <c r="V29" i="72" s="1"/>
  <c r="U28" i="72"/>
  <c r="V28" i="72"/>
  <c r="U26" i="72"/>
  <c r="V26" i="72" s="1"/>
  <c r="U25" i="72"/>
  <c r="V25" i="72" s="1"/>
  <c r="U24" i="72"/>
  <c r="V24" i="72" s="1"/>
  <c r="U23" i="72"/>
  <c r="V23" i="72" s="1"/>
  <c r="U22" i="72"/>
  <c r="V22" i="72" s="1"/>
  <c r="U21" i="72"/>
  <c r="V21" i="72" s="1"/>
  <c r="U19" i="72"/>
  <c r="V19" i="72" s="1"/>
  <c r="U18" i="72"/>
  <c r="V18" i="72" s="1"/>
  <c r="U17" i="72"/>
  <c r="V17" i="72" s="1"/>
  <c r="U16" i="72"/>
  <c r="V16" i="72" s="1"/>
  <c r="U15" i="72"/>
  <c r="U14" i="72"/>
  <c r="H19" i="78"/>
  <c r="R19" i="78" s="1"/>
  <c r="O19" i="78"/>
  <c r="N19" i="78"/>
  <c r="K19" i="78"/>
  <c r="J19" i="78"/>
  <c r="L19" i="78"/>
  <c r="J20" i="21"/>
  <c r="K20" i="21"/>
  <c r="L20" i="21"/>
  <c r="I20" i="21"/>
  <c r="N20" i="21"/>
  <c r="O20" i="21"/>
  <c r="H20" i="21"/>
  <c r="P43" i="21"/>
  <c r="L56" i="21"/>
  <c r="O56" i="21"/>
  <c r="I56" i="21"/>
  <c r="K56" i="21"/>
  <c r="M56" i="21"/>
  <c r="N56" i="21"/>
  <c r="H56" i="21"/>
  <c r="J56" i="21"/>
  <c r="X56" i="21" s="1"/>
  <c r="R25" i="21"/>
  <c r="Q25" i="21" s="1"/>
  <c r="X25" i="21"/>
  <c r="P25" i="21"/>
  <c r="AA25" i="21"/>
  <c r="P82" i="21"/>
  <c r="AE82" i="21" s="1"/>
  <c r="J91" i="21"/>
  <c r="X91" i="21" s="1"/>
  <c r="I91" i="21"/>
  <c r="H91" i="21"/>
  <c r="O91" i="21"/>
  <c r="N91" i="21"/>
  <c r="M91" i="21"/>
  <c r="L91" i="21"/>
  <c r="K91" i="21"/>
  <c r="V14" i="72"/>
  <c r="R91" i="21"/>
  <c r="H28" i="24"/>
  <c r="H27" i="24"/>
  <c r="H26" i="24"/>
  <c r="H25" i="24"/>
  <c r="H23" i="24"/>
  <c r="H22" i="24"/>
  <c r="H21" i="24"/>
  <c r="H20" i="24"/>
  <c r="H18" i="24"/>
  <c r="H17" i="24"/>
  <c r="H16" i="24"/>
  <c r="H15" i="24"/>
  <c r="H14" i="24"/>
  <c r="H13" i="24"/>
  <c r="H12" i="24"/>
  <c r="H9" i="24"/>
  <c r="H8" i="24"/>
  <c r="H6" i="24"/>
  <c r="H4" i="24"/>
  <c r="H3" i="24"/>
  <c r="U35" i="64"/>
  <c r="V35" i="64"/>
  <c r="U36" i="64"/>
  <c r="V36" i="64"/>
  <c r="U37" i="64"/>
  <c r="V37" i="64"/>
  <c r="W37" i="64" s="1"/>
  <c r="F49" i="35"/>
  <c r="G49" i="35"/>
  <c r="H49" i="35"/>
  <c r="I49" i="35"/>
  <c r="J49" i="35"/>
  <c r="K49" i="35"/>
  <c r="L49" i="35"/>
  <c r="E49" i="35"/>
  <c r="F33" i="35"/>
  <c r="G33" i="35"/>
  <c r="H33" i="35"/>
  <c r="I33" i="35"/>
  <c r="J33" i="35"/>
  <c r="K33" i="35"/>
  <c r="L33" i="35"/>
  <c r="E33" i="35"/>
  <c r="F15" i="35"/>
  <c r="G15" i="35"/>
  <c r="I15" i="35"/>
  <c r="J15" i="35"/>
  <c r="K15" i="35"/>
  <c r="L15" i="35"/>
  <c r="E15" i="35"/>
  <c r="K67" i="36"/>
  <c r="J67" i="36"/>
  <c r="I67" i="36"/>
  <c r="H67" i="36"/>
  <c r="G67" i="36"/>
  <c r="F67" i="36"/>
  <c r="K63" i="36"/>
  <c r="J63" i="36"/>
  <c r="I63" i="36"/>
  <c r="H63" i="36"/>
  <c r="G63" i="36"/>
  <c r="F63" i="36"/>
  <c r="C25" i="70"/>
  <c r="D25" i="70"/>
  <c r="F25" i="70"/>
  <c r="G25" i="70"/>
  <c r="I25" i="70"/>
  <c r="J25" i="70"/>
  <c r="F13" i="69"/>
  <c r="F16" i="69" s="1"/>
  <c r="H13" i="69"/>
  <c r="H16" i="69" s="1"/>
  <c r="B16" i="69"/>
  <c r="C14" i="69" s="1"/>
  <c r="D16" i="69"/>
  <c r="E13" i="69" s="1"/>
  <c r="F5" i="69"/>
  <c r="F8" i="69" s="1"/>
  <c r="G4" i="69" s="1"/>
  <c r="H5" i="69"/>
  <c r="F7" i="69"/>
  <c r="H7" i="69"/>
  <c r="B8" i="69"/>
  <c r="C4" i="69" s="1"/>
  <c r="D8" i="69"/>
  <c r="D71" i="36"/>
  <c r="C46" i="64"/>
  <c r="L46" i="64"/>
  <c r="C45" i="64"/>
  <c r="L45" i="64" s="1"/>
  <c r="C44" i="64"/>
  <c r="L44" i="64" s="1"/>
  <c r="O44" i="64" s="1"/>
  <c r="P44" i="64" s="1"/>
  <c r="C43" i="64"/>
  <c r="L43" i="64" s="1"/>
  <c r="O37" i="64"/>
  <c r="O36" i="64"/>
  <c r="O35" i="64"/>
  <c r="N36" i="64"/>
  <c r="N37" i="64"/>
  <c r="P37" i="64" s="1"/>
  <c r="N35" i="64"/>
  <c r="K125" i="25"/>
  <c r="L125" i="25"/>
  <c r="M125" i="25"/>
  <c r="N125" i="25"/>
  <c r="O125" i="25"/>
  <c r="P125" i="25"/>
  <c r="Q125" i="25"/>
  <c r="R125" i="25"/>
  <c r="S125" i="25"/>
  <c r="T125" i="25"/>
  <c r="J125" i="25"/>
  <c r="I125" i="25"/>
  <c r="AB35" i="43"/>
  <c r="G24" i="70"/>
  <c r="E16" i="70"/>
  <c r="W35" i="64"/>
  <c r="C24" i="70"/>
  <c r="I9" i="70"/>
  <c r="I23" i="70"/>
  <c r="E17" i="70"/>
  <c r="J10" i="70"/>
  <c r="J24" i="70" s="1"/>
  <c r="K16" i="70"/>
  <c r="K18" i="70" s="1"/>
  <c r="L18" i="70" s="1"/>
  <c r="H9" i="70"/>
  <c r="C7" i="69"/>
  <c r="K17" i="70"/>
  <c r="C23" i="70"/>
  <c r="H16" i="70"/>
  <c r="D24" i="70"/>
  <c r="J9" i="70"/>
  <c r="C13" i="69"/>
  <c r="C15" i="69"/>
  <c r="H10" i="70"/>
  <c r="E10" i="70"/>
  <c r="F23" i="70"/>
  <c r="I10" i="70"/>
  <c r="I24" i="70"/>
  <c r="D23" i="70"/>
  <c r="H17" i="70"/>
  <c r="E9" i="70"/>
  <c r="F24" i="70"/>
  <c r="G23" i="70"/>
  <c r="C3" i="69"/>
  <c r="C6" i="69"/>
  <c r="C5" i="69"/>
  <c r="D123" i="25"/>
  <c r="E123" i="25"/>
  <c r="F123" i="25"/>
  <c r="C123" i="25"/>
  <c r="G207" i="65"/>
  <c r="G211" i="65"/>
  <c r="H207" i="65"/>
  <c r="H211" i="65" s="1"/>
  <c r="I207" i="65"/>
  <c r="I211" i="65" s="1"/>
  <c r="J207" i="65"/>
  <c r="J211" i="65" s="1"/>
  <c r="C13" i="25" s="1"/>
  <c r="K207" i="65"/>
  <c r="K211" i="65" s="1"/>
  <c r="D13" i="25" s="1"/>
  <c r="L207" i="65"/>
  <c r="L210" i="65"/>
  <c r="E12" i="25"/>
  <c r="M207" i="65"/>
  <c r="M210" i="65" s="1"/>
  <c r="F12" i="25" s="1"/>
  <c r="N207" i="65"/>
  <c r="N211" i="65" s="1"/>
  <c r="G13" i="25" s="1"/>
  <c r="O207" i="65"/>
  <c r="O211" i="65"/>
  <c r="H13" i="25" s="1"/>
  <c r="P207" i="65"/>
  <c r="P211" i="65"/>
  <c r="I13" i="25" s="1"/>
  <c r="Q207" i="65"/>
  <c r="Q211" i="65" s="1"/>
  <c r="R207" i="65"/>
  <c r="R211" i="65" s="1"/>
  <c r="J13" i="25" s="1"/>
  <c r="S207" i="65"/>
  <c r="S211" i="65" s="1"/>
  <c r="K13" i="25" s="1"/>
  <c r="T207" i="65"/>
  <c r="T210" i="65" s="1"/>
  <c r="L12" i="25" s="1"/>
  <c r="U207" i="65"/>
  <c r="U210" i="65" s="1"/>
  <c r="M12" i="25" s="1"/>
  <c r="V207" i="65"/>
  <c r="V211" i="65" s="1"/>
  <c r="N13" i="25" s="1"/>
  <c r="W207" i="65"/>
  <c r="W211" i="65" s="1"/>
  <c r="O13" i="25" s="1"/>
  <c r="X207" i="65"/>
  <c r="X211" i="65" s="1"/>
  <c r="P13" i="25" s="1"/>
  <c r="Y207" i="65"/>
  <c r="Y211" i="65" s="1"/>
  <c r="Q13" i="25" s="1"/>
  <c r="Z207" i="65"/>
  <c r="Z211" i="65" s="1"/>
  <c r="R13" i="25" s="1"/>
  <c r="AA207" i="65"/>
  <c r="AA211" i="65" s="1"/>
  <c r="S13" i="25" s="1"/>
  <c r="AB207" i="65"/>
  <c r="AB210" i="65"/>
  <c r="T12" i="25" s="1"/>
  <c r="F207" i="65"/>
  <c r="F210" i="65" s="1"/>
  <c r="G70" i="65"/>
  <c r="H70" i="65"/>
  <c r="I70" i="65"/>
  <c r="J70" i="65"/>
  <c r="K70" i="65"/>
  <c r="L70" i="65"/>
  <c r="M70" i="65"/>
  <c r="N70" i="65"/>
  <c r="O70" i="65"/>
  <c r="P70" i="65"/>
  <c r="Q70" i="65"/>
  <c r="F70" i="65"/>
  <c r="G74" i="65"/>
  <c r="G141" i="65"/>
  <c r="H74" i="65"/>
  <c r="H141" i="65" s="1"/>
  <c r="I74" i="65"/>
  <c r="I141" i="65" s="1"/>
  <c r="Q141" i="65" s="1"/>
  <c r="J74" i="65"/>
  <c r="J141" i="65" s="1"/>
  <c r="K74" i="65"/>
  <c r="K141" i="65" s="1"/>
  <c r="L74" i="65"/>
  <c r="L141" i="65" s="1"/>
  <c r="M74" i="65"/>
  <c r="M141" i="65"/>
  <c r="N74" i="65"/>
  <c r="N141" i="65" s="1"/>
  <c r="O74" i="65"/>
  <c r="O141" i="65" s="1"/>
  <c r="P74" i="65"/>
  <c r="P141" i="65" s="1"/>
  <c r="G75" i="65"/>
  <c r="G142" i="65" s="1"/>
  <c r="H75" i="65"/>
  <c r="H142" i="65" s="1"/>
  <c r="I75" i="65"/>
  <c r="I142" i="65"/>
  <c r="J75" i="65"/>
  <c r="J142" i="65" s="1"/>
  <c r="K75" i="65"/>
  <c r="K142" i="65" s="1"/>
  <c r="L75" i="65"/>
  <c r="L142" i="65" s="1"/>
  <c r="M75" i="65"/>
  <c r="M142" i="65"/>
  <c r="N75" i="65"/>
  <c r="N142" i="65" s="1"/>
  <c r="O75" i="65"/>
  <c r="O142" i="65"/>
  <c r="P75" i="65"/>
  <c r="P142" i="65" s="1"/>
  <c r="G76" i="65"/>
  <c r="H76" i="65"/>
  <c r="H143" i="65" s="1"/>
  <c r="I76" i="65"/>
  <c r="I143" i="65"/>
  <c r="J76" i="65"/>
  <c r="J143" i="65" s="1"/>
  <c r="K76" i="65"/>
  <c r="K143" i="65" s="1"/>
  <c r="L76" i="65"/>
  <c r="L143" i="65" s="1"/>
  <c r="M76" i="65"/>
  <c r="M143" i="65" s="1"/>
  <c r="N76" i="65"/>
  <c r="N143" i="65" s="1"/>
  <c r="O76" i="65"/>
  <c r="O143" i="65" s="1"/>
  <c r="P76" i="65"/>
  <c r="P143" i="65" s="1"/>
  <c r="G77" i="65"/>
  <c r="G144" i="65" s="1"/>
  <c r="H77" i="65"/>
  <c r="H144" i="65" s="1"/>
  <c r="I77" i="65"/>
  <c r="I144" i="65" s="1"/>
  <c r="J77" i="65"/>
  <c r="J144" i="65"/>
  <c r="K77" i="65"/>
  <c r="K144" i="65" s="1"/>
  <c r="Q144" i="65" s="1"/>
  <c r="L77" i="65"/>
  <c r="L144" i="65" s="1"/>
  <c r="M77" i="65"/>
  <c r="M144" i="65" s="1"/>
  <c r="N77" i="65"/>
  <c r="N144" i="65" s="1"/>
  <c r="O77" i="65"/>
  <c r="O144" i="65"/>
  <c r="P77" i="65"/>
  <c r="P144" i="65" s="1"/>
  <c r="G78" i="65"/>
  <c r="H78" i="65"/>
  <c r="H145" i="65" s="1"/>
  <c r="I78" i="65"/>
  <c r="I145" i="65" s="1"/>
  <c r="J78" i="65"/>
  <c r="J145" i="65"/>
  <c r="K78" i="65"/>
  <c r="K145" i="65" s="1"/>
  <c r="L78" i="65"/>
  <c r="L145" i="65" s="1"/>
  <c r="Q145" i="65" s="1"/>
  <c r="M78" i="65"/>
  <c r="M145" i="65" s="1"/>
  <c r="N78" i="65"/>
  <c r="N145" i="65" s="1"/>
  <c r="O78" i="65"/>
  <c r="O145" i="65" s="1"/>
  <c r="P78" i="65"/>
  <c r="P145" i="65"/>
  <c r="G79" i="65"/>
  <c r="H79" i="65"/>
  <c r="H146" i="65" s="1"/>
  <c r="I79" i="65"/>
  <c r="I146" i="65" s="1"/>
  <c r="J79" i="65"/>
  <c r="J146" i="65" s="1"/>
  <c r="K79" i="65"/>
  <c r="K146" i="65"/>
  <c r="L79" i="65"/>
  <c r="L146" i="65"/>
  <c r="M79" i="65"/>
  <c r="M146" i="65" s="1"/>
  <c r="N79" i="65"/>
  <c r="N146" i="65" s="1"/>
  <c r="O79" i="65"/>
  <c r="O146" i="65" s="1"/>
  <c r="P79" i="65"/>
  <c r="P146" i="65"/>
  <c r="G80" i="65"/>
  <c r="H80" i="65"/>
  <c r="H147" i="65" s="1"/>
  <c r="I80" i="65"/>
  <c r="I147" i="65" s="1"/>
  <c r="J80" i="65"/>
  <c r="J147" i="65" s="1"/>
  <c r="K80" i="65"/>
  <c r="K147" i="65" s="1"/>
  <c r="L80" i="65"/>
  <c r="L147" i="65" s="1"/>
  <c r="M80" i="65"/>
  <c r="M147" i="65"/>
  <c r="N80" i="65"/>
  <c r="N147" i="65" s="1"/>
  <c r="O80" i="65"/>
  <c r="O147" i="65" s="1"/>
  <c r="P80" i="65"/>
  <c r="P147" i="65" s="1"/>
  <c r="G81" i="65"/>
  <c r="H81" i="65"/>
  <c r="H148" i="65" s="1"/>
  <c r="I81" i="65"/>
  <c r="I148" i="65"/>
  <c r="J81" i="65"/>
  <c r="J148" i="65" s="1"/>
  <c r="K81" i="65"/>
  <c r="K148" i="65" s="1"/>
  <c r="L81" i="65"/>
  <c r="L148" i="65"/>
  <c r="M81" i="65"/>
  <c r="M148" i="65" s="1"/>
  <c r="N81" i="65"/>
  <c r="N148" i="65" s="1"/>
  <c r="O81" i="65"/>
  <c r="O148" i="65" s="1"/>
  <c r="P81" i="65"/>
  <c r="P148" i="65" s="1"/>
  <c r="G82" i="65"/>
  <c r="G149" i="65"/>
  <c r="H82" i="65"/>
  <c r="H149" i="65" s="1"/>
  <c r="I82" i="65"/>
  <c r="I149" i="65" s="1"/>
  <c r="J82" i="65"/>
  <c r="K82" i="65"/>
  <c r="K149" i="65" s="1"/>
  <c r="L82" i="65"/>
  <c r="L149" i="65" s="1"/>
  <c r="M82" i="65"/>
  <c r="M149" i="65" s="1"/>
  <c r="N82" i="65"/>
  <c r="N149" i="65" s="1"/>
  <c r="O82" i="65"/>
  <c r="O149" i="65"/>
  <c r="P82" i="65"/>
  <c r="P149" i="65" s="1"/>
  <c r="G83" i="65"/>
  <c r="G150" i="65" s="1"/>
  <c r="H83" i="65"/>
  <c r="H150" i="65"/>
  <c r="I83" i="65"/>
  <c r="I150" i="65" s="1"/>
  <c r="J83" i="65"/>
  <c r="J150" i="65" s="1"/>
  <c r="K83" i="65"/>
  <c r="K150" i="65" s="1"/>
  <c r="L83" i="65"/>
  <c r="L150" i="65" s="1"/>
  <c r="Q150" i="65" s="1"/>
  <c r="M83" i="65"/>
  <c r="M150" i="65"/>
  <c r="N83" i="65"/>
  <c r="N150" i="65" s="1"/>
  <c r="O83" i="65"/>
  <c r="O150" i="65" s="1"/>
  <c r="P83" i="65"/>
  <c r="P150" i="65" s="1"/>
  <c r="G84" i="65"/>
  <c r="H84" i="65"/>
  <c r="H151" i="65" s="1"/>
  <c r="I84" i="65"/>
  <c r="I151" i="65" s="1"/>
  <c r="J84" i="65"/>
  <c r="J151" i="65" s="1"/>
  <c r="K84" i="65"/>
  <c r="K151" i="65" s="1"/>
  <c r="L84" i="65"/>
  <c r="L151" i="65" s="1"/>
  <c r="M84" i="65"/>
  <c r="M151" i="65" s="1"/>
  <c r="N84" i="65"/>
  <c r="N151" i="65"/>
  <c r="O84" i="65"/>
  <c r="O151" i="65" s="1"/>
  <c r="P84" i="65"/>
  <c r="P151" i="65"/>
  <c r="G85" i="65"/>
  <c r="H85" i="65"/>
  <c r="H152" i="65" s="1"/>
  <c r="I85" i="65"/>
  <c r="I152" i="65" s="1"/>
  <c r="J85" i="65"/>
  <c r="J152" i="65"/>
  <c r="K85" i="65"/>
  <c r="K152" i="65"/>
  <c r="L85" i="65"/>
  <c r="L152" i="65" s="1"/>
  <c r="M85" i="65"/>
  <c r="M152" i="65" s="1"/>
  <c r="N85" i="65"/>
  <c r="N152" i="65"/>
  <c r="O85" i="65"/>
  <c r="O152" i="65" s="1"/>
  <c r="P85" i="65"/>
  <c r="P152" i="65" s="1"/>
  <c r="G86" i="65"/>
  <c r="G153" i="65" s="1"/>
  <c r="Q153" i="65" s="1"/>
  <c r="H86" i="65"/>
  <c r="H153" i="65" s="1"/>
  <c r="I86" i="65"/>
  <c r="I153" i="65" s="1"/>
  <c r="J86" i="65"/>
  <c r="J153" i="65" s="1"/>
  <c r="K86" i="65"/>
  <c r="K153" i="65" s="1"/>
  <c r="L86" i="65"/>
  <c r="L153" i="65" s="1"/>
  <c r="M86" i="65"/>
  <c r="M153" i="65" s="1"/>
  <c r="N86" i="65"/>
  <c r="N153" i="65" s="1"/>
  <c r="O86" i="65"/>
  <c r="O153" i="65"/>
  <c r="P86" i="65"/>
  <c r="P153" i="65" s="1"/>
  <c r="G87" i="65"/>
  <c r="H87" i="65"/>
  <c r="H154" i="65" s="1"/>
  <c r="I87" i="65"/>
  <c r="I154" i="65" s="1"/>
  <c r="J87" i="65"/>
  <c r="J154" i="65" s="1"/>
  <c r="K87" i="65"/>
  <c r="K154" i="65"/>
  <c r="L87" i="65"/>
  <c r="L154" i="65" s="1"/>
  <c r="M87" i="65"/>
  <c r="M154" i="65" s="1"/>
  <c r="N87" i="65"/>
  <c r="N154" i="65" s="1"/>
  <c r="O87" i="65"/>
  <c r="O154" i="65" s="1"/>
  <c r="P87" i="65"/>
  <c r="P154" i="65"/>
  <c r="G88" i="65"/>
  <c r="H88" i="65"/>
  <c r="H155" i="65"/>
  <c r="I88" i="65"/>
  <c r="I155" i="65" s="1"/>
  <c r="J88" i="65"/>
  <c r="J155" i="65" s="1"/>
  <c r="K88" i="65"/>
  <c r="K155" i="65" s="1"/>
  <c r="L88" i="65"/>
  <c r="L155" i="65"/>
  <c r="M88" i="65"/>
  <c r="M155" i="65" s="1"/>
  <c r="N88" i="65"/>
  <c r="Q88" i="65" s="1"/>
  <c r="N155" i="65"/>
  <c r="O88" i="65"/>
  <c r="O155" i="65" s="1"/>
  <c r="P88" i="65"/>
  <c r="P155" i="65" s="1"/>
  <c r="G89" i="65"/>
  <c r="G156" i="65" s="1"/>
  <c r="H89" i="65"/>
  <c r="H156" i="65" s="1"/>
  <c r="I89" i="65"/>
  <c r="I156" i="65" s="1"/>
  <c r="J89" i="65"/>
  <c r="J156" i="65"/>
  <c r="K89" i="65"/>
  <c r="K156" i="65" s="1"/>
  <c r="L89" i="65"/>
  <c r="L156" i="65"/>
  <c r="M89" i="65"/>
  <c r="M156" i="65" s="1"/>
  <c r="N89" i="65"/>
  <c r="N156" i="65"/>
  <c r="O89" i="65"/>
  <c r="O156" i="65" s="1"/>
  <c r="P89" i="65"/>
  <c r="P156" i="65" s="1"/>
  <c r="G90" i="65"/>
  <c r="G157" i="65" s="1"/>
  <c r="H90" i="65"/>
  <c r="H157" i="65"/>
  <c r="I90" i="65"/>
  <c r="I157" i="65" s="1"/>
  <c r="J90" i="65"/>
  <c r="J157" i="65" s="1"/>
  <c r="Q157" i="65" s="1"/>
  <c r="K90" i="65"/>
  <c r="K157" i="65" s="1"/>
  <c r="L90" i="65"/>
  <c r="L157" i="65" s="1"/>
  <c r="M90" i="65"/>
  <c r="M157" i="65" s="1"/>
  <c r="N90" i="65"/>
  <c r="N157" i="65" s="1"/>
  <c r="O90" i="65"/>
  <c r="O157" i="65" s="1"/>
  <c r="P90" i="65"/>
  <c r="P157" i="65" s="1"/>
  <c r="G91" i="65"/>
  <c r="G158" i="65" s="1"/>
  <c r="H91" i="65"/>
  <c r="H158" i="65"/>
  <c r="I91" i="65"/>
  <c r="I158" i="65" s="1"/>
  <c r="J91" i="65"/>
  <c r="J158" i="65"/>
  <c r="K91" i="65"/>
  <c r="K158" i="65" s="1"/>
  <c r="L91" i="65"/>
  <c r="L158" i="65" s="1"/>
  <c r="M91" i="65"/>
  <c r="M158" i="65" s="1"/>
  <c r="N91" i="65"/>
  <c r="N158" i="65"/>
  <c r="O91" i="65"/>
  <c r="O158" i="65" s="1"/>
  <c r="P91" i="65"/>
  <c r="P158" i="65" s="1"/>
  <c r="Q158" i="65" s="1"/>
  <c r="G92" i="65"/>
  <c r="H92" i="65"/>
  <c r="H159" i="65" s="1"/>
  <c r="I92" i="65"/>
  <c r="I159" i="65"/>
  <c r="J92" i="65"/>
  <c r="J159" i="65"/>
  <c r="K92" i="65"/>
  <c r="K159" i="65" s="1"/>
  <c r="L92" i="65"/>
  <c r="L159" i="65" s="1"/>
  <c r="M92" i="65"/>
  <c r="M159" i="65"/>
  <c r="N92" i="65"/>
  <c r="N159" i="65"/>
  <c r="O92" i="65"/>
  <c r="P92" i="65"/>
  <c r="P159" i="65" s="1"/>
  <c r="G93" i="65"/>
  <c r="G160" i="65"/>
  <c r="H93" i="65"/>
  <c r="H160" i="65"/>
  <c r="I93" i="65"/>
  <c r="Q93" i="65" s="1"/>
  <c r="I160" i="65"/>
  <c r="J93" i="65"/>
  <c r="J160" i="65" s="1"/>
  <c r="K93" i="65"/>
  <c r="K160" i="65"/>
  <c r="L93" i="65"/>
  <c r="L160" i="65"/>
  <c r="M93" i="65"/>
  <c r="M160" i="65"/>
  <c r="N93" i="65"/>
  <c r="N160" i="65" s="1"/>
  <c r="O93" i="65"/>
  <c r="O160" i="65"/>
  <c r="P93" i="65"/>
  <c r="P160" i="65"/>
  <c r="G94" i="65"/>
  <c r="H94" i="65"/>
  <c r="H161" i="65" s="1"/>
  <c r="I94" i="65"/>
  <c r="I161" i="65" s="1"/>
  <c r="J94" i="65"/>
  <c r="J161" i="65" s="1"/>
  <c r="K94" i="65"/>
  <c r="K161" i="65" s="1"/>
  <c r="L94" i="65"/>
  <c r="L161" i="65" s="1"/>
  <c r="M94" i="65"/>
  <c r="M161" i="65" s="1"/>
  <c r="N94" i="65"/>
  <c r="N161" i="65" s="1"/>
  <c r="O94" i="65"/>
  <c r="O161" i="65"/>
  <c r="P94" i="65"/>
  <c r="P161" i="65" s="1"/>
  <c r="G95" i="65"/>
  <c r="H95" i="65"/>
  <c r="H162" i="65" s="1"/>
  <c r="I95" i="65"/>
  <c r="I162" i="65" s="1"/>
  <c r="J95" i="65"/>
  <c r="J162" i="65" s="1"/>
  <c r="K95" i="65"/>
  <c r="K162" i="65"/>
  <c r="L95" i="65"/>
  <c r="L162" i="65" s="1"/>
  <c r="M95" i="65"/>
  <c r="M162" i="65" s="1"/>
  <c r="N95" i="65"/>
  <c r="N162" i="65" s="1"/>
  <c r="O95" i="65"/>
  <c r="O162" i="65"/>
  <c r="P95" i="65"/>
  <c r="P162" i="65" s="1"/>
  <c r="G96" i="65"/>
  <c r="H96" i="65"/>
  <c r="I96" i="65"/>
  <c r="I163" i="65" s="1"/>
  <c r="J96" i="65"/>
  <c r="J163" i="65" s="1"/>
  <c r="K96" i="65"/>
  <c r="K163" i="65" s="1"/>
  <c r="L96" i="65"/>
  <c r="L163" i="65" s="1"/>
  <c r="M96" i="65"/>
  <c r="M163" i="65" s="1"/>
  <c r="N96" i="65"/>
  <c r="N163" i="65"/>
  <c r="O96" i="65"/>
  <c r="O163" i="65" s="1"/>
  <c r="P96" i="65"/>
  <c r="P163" i="65"/>
  <c r="G97" i="65"/>
  <c r="H97" i="65"/>
  <c r="H164" i="65"/>
  <c r="I97" i="65"/>
  <c r="I164" i="65"/>
  <c r="J97" i="65"/>
  <c r="J164" i="65" s="1"/>
  <c r="K97" i="65"/>
  <c r="K164" i="65" s="1"/>
  <c r="L97" i="65"/>
  <c r="L164" i="65" s="1"/>
  <c r="M97" i="65"/>
  <c r="M164" i="65" s="1"/>
  <c r="N97" i="65"/>
  <c r="N164" i="65" s="1"/>
  <c r="O97" i="65"/>
  <c r="O164" i="65" s="1"/>
  <c r="P97" i="65"/>
  <c r="P164" i="65"/>
  <c r="G98" i="65"/>
  <c r="G165" i="65"/>
  <c r="H98" i="65"/>
  <c r="H165" i="65" s="1"/>
  <c r="I98" i="65"/>
  <c r="I165" i="65" s="1"/>
  <c r="J98" i="65"/>
  <c r="J165" i="65"/>
  <c r="K98" i="65"/>
  <c r="K165" i="65" s="1"/>
  <c r="L98" i="65"/>
  <c r="L165" i="65"/>
  <c r="M98" i="65"/>
  <c r="M165" i="65" s="1"/>
  <c r="N98" i="65"/>
  <c r="N165" i="65" s="1"/>
  <c r="O98" i="65"/>
  <c r="O165" i="65"/>
  <c r="P98" i="65"/>
  <c r="P165" i="65"/>
  <c r="G99" i="65"/>
  <c r="G166" i="65" s="1"/>
  <c r="H99" i="65"/>
  <c r="H166" i="65" s="1"/>
  <c r="I99" i="65"/>
  <c r="I166" i="65"/>
  <c r="J99" i="65"/>
  <c r="J166" i="65" s="1"/>
  <c r="K99" i="65"/>
  <c r="K166" i="65"/>
  <c r="L99" i="65"/>
  <c r="L166" i="65" s="1"/>
  <c r="M99" i="65"/>
  <c r="M166" i="65" s="1"/>
  <c r="N99" i="65"/>
  <c r="N166" i="65" s="1"/>
  <c r="O99" i="65"/>
  <c r="O166" i="65" s="1"/>
  <c r="P99" i="65"/>
  <c r="P166" i="65"/>
  <c r="G100" i="65"/>
  <c r="H100" i="65"/>
  <c r="H167" i="65" s="1"/>
  <c r="I100" i="65"/>
  <c r="I167" i="65" s="1"/>
  <c r="J100" i="65"/>
  <c r="J167" i="65" s="1"/>
  <c r="K100" i="65"/>
  <c r="K167" i="65" s="1"/>
  <c r="L100" i="65"/>
  <c r="L167" i="65" s="1"/>
  <c r="M100" i="65"/>
  <c r="M167" i="65"/>
  <c r="N100" i="65"/>
  <c r="N167" i="65" s="1"/>
  <c r="O100" i="65"/>
  <c r="O167" i="65" s="1"/>
  <c r="P100" i="65"/>
  <c r="P167" i="65" s="1"/>
  <c r="G101" i="65"/>
  <c r="H101" i="65"/>
  <c r="H168" i="65"/>
  <c r="I101" i="65"/>
  <c r="I168" i="65"/>
  <c r="J101" i="65"/>
  <c r="J168" i="65" s="1"/>
  <c r="K101" i="65"/>
  <c r="K168" i="65"/>
  <c r="L101" i="65"/>
  <c r="L168" i="65" s="1"/>
  <c r="M101" i="65"/>
  <c r="M168" i="65" s="1"/>
  <c r="N101" i="65"/>
  <c r="N168" i="65" s="1"/>
  <c r="O101" i="65"/>
  <c r="O168" i="65" s="1"/>
  <c r="P101" i="65"/>
  <c r="P168" i="65"/>
  <c r="G102" i="65"/>
  <c r="H102" i="65"/>
  <c r="H169" i="65" s="1"/>
  <c r="I102" i="65"/>
  <c r="I169" i="65" s="1"/>
  <c r="J102" i="65"/>
  <c r="J169" i="65" s="1"/>
  <c r="K102" i="65"/>
  <c r="K169" i="65" s="1"/>
  <c r="L102" i="65"/>
  <c r="L169" i="65" s="1"/>
  <c r="M102" i="65"/>
  <c r="M169" i="65" s="1"/>
  <c r="N102" i="65"/>
  <c r="N169" i="65"/>
  <c r="O102" i="65"/>
  <c r="O169" i="65" s="1"/>
  <c r="P102" i="65"/>
  <c r="P169" i="65" s="1"/>
  <c r="G103" i="65"/>
  <c r="H103" i="65"/>
  <c r="H170" i="65"/>
  <c r="I103" i="65"/>
  <c r="I170" i="65" s="1"/>
  <c r="J103" i="65"/>
  <c r="J170" i="65"/>
  <c r="K103" i="65"/>
  <c r="K170" i="65" s="1"/>
  <c r="L103" i="65"/>
  <c r="L170" i="65"/>
  <c r="M103" i="65"/>
  <c r="M170" i="65" s="1"/>
  <c r="N103" i="65"/>
  <c r="N170" i="65"/>
  <c r="O103" i="65"/>
  <c r="O170" i="65"/>
  <c r="P103" i="65"/>
  <c r="P170" i="65" s="1"/>
  <c r="G104" i="65"/>
  <c r="H104" i="65"/>
  <c r="H171" i="65" s="1"/>
  <c r="I104" i="65"/>
  <c r="I171" i="65"/>
  <c r="J104" i="65"/>
  <c r="J171" i="65" s="1"/>
  <c r="K104" i="65"/>
  <c r="K171" i="65" s="1"/>
  <c r="L104" i="65"/>
  <c r="L171" i="65" s="1"/>
  <c r="M104" i="65"/>
  <c r="M171" i="65" s="1"/>
  <c r="N104" i="65"/>
  <c r="N171" i="65" s="1"/>
  <c r="O104" i="65"/>
  <c r="O171" i="65"/>
  <c r="P104" i="65"/>
  <c r="G105" i="65"/>
  <c r="G172" i="65" s="1"/>
  <c r="H105" i="65"/>
  <c r="H172" i="65" s="1"/>
  <c r="I105" i="65"/>
  <c r="I172" i="65"/>
  <c r="J105" i="65"/>
  <c r="J172" i="65" s="1"/>
  <c r="K105" i="65"/>
  <c r="K172" i="65"/>
  <c r="L105" i="65"/>
  <c r="M105" i="65"/>
  <c r="M172" i="65" s="1"/>
  <c r="N105" i="65"/>
  <c r="N172" i="65" s="1"/>
  <c r="O105" i="65"/>
  <c r="O172" i="65" s="1"/>
  <c r="P105" i="65"/>
  <c r="P172" i="65" s="1"/>
  <c r="G106" i="65"/>
  <c r="G173" i="65"/>
  <c r="H106" i="65"/>
  <c r="H173" i="65" s="1"/>
  <c r="I106" i="65"/>
  <c r="I173" i="65" s="1"/>
  <c r="J106" i="65"/>
  <c r="J173" i="65" s="1"/>
  <c r="K106" i="65"/>
  <c r="K173" i="65" s="1"/>
  <c r="L106" i="65"/>
  <c r="L173" i="65" s="1"/>
  <c r="M106" i="65"/>
  <c r="M173" i="65" s="1"/>
  <c r="N106" i="65"/>
  <c r="N173" i="65" s="1"/>
  <c r="O106" i="65"/>
  <c r="O173" i="65"/>
  <c r="P106" i="65"/>
  <c r="P173" i="65" s="1"/>
  <c r="G107" i="65"/>
  <c r="G174" i="65" s="1"/>
  <c r="H107" i="65"/>
  <c r="H174" i="65" s="1"/>
  <c r="I107" i="65"/>
  <c r="I174" i="65" s="1"/>
  <c r="J107" i="65"/>
  <c r="J174" i="65" s="1"/>
  <c r="K107" i="65"/>
  <c r="K174" i="65"/>
  <c r="L107" i="65"/>
  <c r="L174" i="65" s="1"/>
  <c r="M107" i="65"/>
  <c r="M174" i="65" s="1"/>
  <c r="N107" i="65"/>
  <c r="N174" i="65" s="1"/>
  <c r="O107" i="65"/>
  <c r="O174" i="65"/>
  <c r="P107" i="65"/>
  <c r="P174" i="65" s="1"/>
  <c r="G108" i="65"/>
  <c r="H108" i="65"/>
  <c r="H175" i="65" s="1"/>
  <c r="I108" i="65"/>
  <c r="I175" i="65" s="1"/>
  <c r="J108" i="65"/>
  <c r="J175" i="65"/>
  <c r="K108" i="65"/>
  <c r="K175" i="65" s="1"/>
  <c r="L108" i="65"/>
  <c r="L175" i="65"/>
  <c r="M108" i="65"/>
  <c r="M175" i="65" s="1"/>
  <c r="N108" i="65"/>
  <c r="N175" i="65"/>
  <c r="O108" i="65"/>
  <c r="O175" i="65" s="1"/>
  <c r="P108" i="65"/>
  <c r="P175" i="65" s="1"/>
  <c r="G109" i="65"/>
  <c r="G176" i="65" s="1"/>
  <c r="H109" i="65"/>
  <c r="H176" i="65"/>
  <c r="I109" i="65"/>
  <c r="I176" i="65" s="1"/>
  <c r="J109" i="65"/>
  <c r="J176" i="65"/>
  <c r="K109" i="65"/>
  <c r="K176" i="65" s="1"/>
  <c r="L109" i="65"/>
  <c r="L176" i="65"/>
  <c r="M109" i="65"/>
  <c r="M176" i="65" s="1"/>
  <c r="N109" i="65"/>
  <c r="O109" i="65"/>
  <c r="O176" i="65" s="1"/>
  <c r="P109" i="65"/>
  <c r="P176" i="65"/>
  <c r="G110" i="65"/>
  <c r="H110" i="65"/>
  <c r="H177" i="65"/>
  <c r="I110" i="65"/>
  <c r="J110" i="65"/>
  <c r="J177" i="65" s="1"/>
  <c r="K110" i="65"/>
  <c r="K177" i="65" s="1"/>
  <c r="L110" i="65"/>
  <c r="L177" i="65"/>
  <c r="M110" i="65"/>
  <c r="M177" i="65" s="1"/>
  <c r="N110" i="65"/>
  <c r="N177" i="65"/>
  <c r="O110" i="65"/>
  <c r="O177" i="65" s="1"/>
  <c r="P110" i="65"/>
  <c r="P177" i="65" s="1"/>
  <c r="G111" i="65"/>
  <c r="H111" i="65"/>
  <c r="H178" i="65" s="1"/>
  <c r="I111" i="65"/>
  <c r="I178" i="65" s="1"/>
  <c r="J111" i="65"/>
  <c r="J178" i="65" s="1"/>
  <c r="K111" i="65"/>
  <c r="K178" i="65" s="1"/>
  <c r="L111" i="65"/>
  <c r="L178" i="65"/>
  <c r="M111" i="65"/>
  <c r="M178" i="65"/>
  <c r="N111" i="65"/>
  <c r="N178" i="65" s="1"/>
  <c r="O111" i="65"/>
  <c r="O178" i="65" s="1"/>
  <c r="P111" i="65"/>
  <c r="P178" i="65"/>
  <c r="G112" i="65"/>
  <c r="H112" i="65"/>
  <c r="H179" i="65" s="1"/>
  <c r="I112" i="65"/>
  <c r="I179" i="65" s="1"/>
  <c r="J112" i="65"/>
  <c r="J179" i="65" s="1"/>
  <c r="K112" i="65"/>
  <c r="K179" i="65" s="1"/>
  <c r="L112" i="65"/>
  <c r="L179" i="65" s="1"/>
  <c r="M112" i="65"/>
  <c r="M179" i="65" s="1"/>
  <c r="N112" i="65"/>
  <c r="N179" i="65" s="1"/>
  <c r="O112" i="65"/>
  <c r="O179" i="65" s="1"/>
  <c r="P112" i="65"/>
  <c r="P179" i="65" s="1"/>
  <c r="G113" i="65"/>
  <c r="H113" i="65"/>
  <c r="H180" i="65" s="1"/>
  <c r="I113" i="65"/>
  <c r="I180" i="65" s="1"/>
  <c r="J113" i="65"/>
  <c r="K113" i="65"/>
  <c r="K180" i="65" s="1"/>
  <c r="L113" i="65"/>
  <c r="L180" i="65" s="1"/>
  <c r="M113" i="65"/>
  <c r="M180" i="65"/>
  <c r="N113" i="65"/>
  <c r="N180" i="65" s="1"/>
  <c r="O113" i="65"/>
  <c r="O180" i="65"/>
  <c r="P113" i="65"/>
  <c r="P180" i="65" s="1"/>
  <c r="G114" i="65"/>
  <c r="H114" i="65"/>
  <c r="H181" i="65" s="1"/>
  <c r="I114" i="65"/>
  <c r="I181" i="65" s="1"/>
  <c r="J114" i="65"/>
  <c r="J181" i="65" s="1"/>
  <c r="K114" i="65"/>
  <c r="K181" i="65" s="1"/>
  <c r="L114" i="65"/>
  <c r="Q114" i="65" s="1"/>
  <c r="L181" i="65"/>
  <c r="M114" i="65"/>
  <c r="M181" i="65" s="1"/>
  <c r="N114" i="65"/>
  <c r="N181" i="65" s="1"/>
  <c r="O114" i="65"/>
  <c r="O181" i="65" s="1"/>
  <c r="P114" i="65"/>
  <c r="P181" i="65"/>
  <c r="G115" i="65"/>
  <c r="H115" i="65"/>
  <c r="H182" i="65"/>
  <c r="I115" i="65"/>
  <c r="I182" i="65" s="1"/>
  <c r="J115" i="65"/>
  <c r="J182" i="65" s="1"/>
  <c r="K115" i="65"/>
  <c r="K182" i="65" s="1"/>
  <c r="L115" i="65"/>
  <c r="L182" i="65" s="1"/>
  <c r="M115" i="65"/>
  <c r="M182" i="65" s="1"/>
  <c r="N115" i="65"/>
  <c r="N182" i="65" s="1"/>
  <c r="O115" i="65"/>
  <c r="O182" i="65"/>
  <c r="P115" i="65"/>
  <c r="P182" i="65" s="1"/>
  <c r="G116" i="65"/>
  <c r="G183" i="65" s="1"/>
  <c r="H116" i="65"/>
  <c r="H183" i="65" s="1"/>
  <c r="I116" i="65"/>
  <c r="I183" i="65"/>
  <c r="J116" i="65"/>
  <c r="J183" i="65"/>
  <c r="K116" i="65"/>
  <c r="K183" i="65" s="1"/>
  <c r="L116" i="65"/>
  <c r="L183" i="65" s="1"/>
  <c r="M116" i="65"/>
  <c r="M183" i="65" s="1"/>
  <c r="N116" i="65"/>
  <c r="N183" i="65"/>
  <c r="O116" i="65"/>
  <c r="O183" i="65" s="1"/>
  <c r="P116" i="65"/>
  <c r="G117" i="65"/>
  <c r="H117" i="65"/>
  <c r="H184" i="65" s="1"/>
  <c r="I117" i="65"/>
  <c r="I184" i="65" s="1"/>
  <c r="J117" i="65"/>
  <c r="J184" i="65" s="1"/>
  <c r="K117" i="65"/>
  <c r="K184" i="65" s="1"/>
  <c r="L117" i="65"/>
  <c r="L184" i="65" s="1"/>
  <c r="M117" i="65"/>
  <c r="N117" i="65"/>
  <c r="N184" i="65"/>
  <c r="O117" i="65"/>
  <c r="O184" i="65" s="1"/>
  <c r="P117" i="65"/>
  <c r="P184" i="65" s="1"/>
  <c r="G118" i="65"/>
  <c r="H118" i="65"/>
  <c r="I118" i="65"/>
  <c r="I185" i="65" s="1"/>
  <c r="J118" i="65"/>
  <c r="J185" i="65"/>
  <c r="K118" i="65"/>
  <c r="K185" i="65" s="1"/>
  <c r="L118" i="65"/>
  <c r="L185" i="65" s="1"/>
  <c r="M118" i="65"/>
  <c r="M185" i="65"/>
  <c r="N118" i="65"/>
  <c r="N185" i="65"/>
  <c r="O118" i="65"/>
  <c r="O185" i="65" s="1"/>
  <c r="P118" i="65"/>
  <c r="P185" i="65" s="1"/>
  <c r="G119" i="65"/>
  <c r="G186" i="65"/>
  <c r="H119" i="65"/>
  <c r="I119" i="65"/>
  <c r="I186" i="65" s="1"/>
  <c r="J119" i="65"/>
  <c r="J186" i="65" s="1"/>
  <c r="K119" i="65"/>
  <c r="K186" i="65" s="1"/>
  <c r="L119" i="65"/>
  <c r="L186" i="65"/>
  <c r="M119" i="65"/>
  <c r="M186" i="65"/>
  <c r="N119" i="65"/>
  <c r="N186" i="65" s="1"/>
  <c r="O119" i="65"/>
  <c r="O186" i="65"/>
  <c r="P119" i="65"/>
  <c r="P186" i="65" s="1"/>
  <c r="G120" i="65"/>
  <c r="G187" i="65" s="1"/>
  <c r="H120" i="65"/>
  <c r="H187" i="65" s="1"/>
  <c r="I120" i="65"/>
  <c r="I187" i="65" s="1"/>
  <c r="J120" i="65"/>
  <c r="J187" i="65"/>
  <c r="K120" i="65"/>
  <c r="K187" i="65" s="1"/>
  <c r="L120" i="65"/>
  <c r="L187" i="65" s="1"/>
  <c r="M120" i="65"/>
  <c r="M187" i="65"/>
  <c r="N120" i="65"/>
  <c r="N187" i="65" s="1"/>
  <c r="O120" i="65"/>
  <c r="O187" i="65" s="1"/>
  <c r="P120" i="65"/>
  <c r="P187" i="65" s="1"/>
  <c r="G121" i="65"/>
  <c r="H121" i="65"/>
  <c r="H188" i="65" s="1"/>
  <c r="I121" i="65"/>
  <c r="I188" i="65" s="1"/>
  <c r="J121" i="65"/>
  <c r="J188" i="65" s="1"/>
  <c r="K121" i="65"/>
  <c r="K188" i="65" s="1"/>
  <c r="L121" i="65"/>
  <c r="L188" i="65" s="1"/>
  <c r="M121" i="65"/>
  <c r="M188" i="65" s="1"/>
  <c r="N121" i="65"/>
  <c r="N188" i="65"/>
  <c r="O121" i="65"/>
  <c r="O188" i="65" s="1"/>
  <c r="P121" i="65"/>
  <c r="P188" i="65" s="1"/>
  <c r="G122" i="65"/>
  <c r="H122" i="65"/>
  <c r="H189" i="65"/>
  <c r="I122" i="65"/>
  <c r="I189" i="65"/>
  <c r="J122" i="65"/>
  <c r="J189" i="65" s="1"/>
  <c r="K122" i="65"/>
  <c r="K189" i="65"/>
  <c r="L122" i="65"/>
  <c r="L189" i="65" s="1"/>
  <c r="M122" i="65"/>
  <c r="M189" i="65"/>
  <c r="N122" i="65"/>
  <c r="N189" i="65" s="1"/>
  <c r="O122" i="65"/>
  <c r="O189" i="65" s="1"/>
  <c r="P122" i="65"/>
  <c r="P189" i="65" s="1"/>
  <c r="G123" i="65"/>
  <c r="H123" i="65"/>
  <c r="H190" i="65"/>
  <c r="I123" i="65"/>
  <c r="I190" i="65" s="1"/>
  <c r="J123" i="65"/>
  <c r="J190" i="65" s="1"/>
  <c r="K123" i="65"/>
  <c r="K190" i="65"/>
  <c r="L123" i="65"/>
  <c r="L190" i="65" s="1"/>
  <c r="M123" i="65"/>
  <c r="M190" i="65" s="1"/>
  <c r="N123" i="65"/>
  <c r="N190" i="65" s="1"/>
  <c r="O123" i="65"/>
  <c r="O190" i="65" s="1"/>
  <c r="P123" i="65"/>
  <c r="P190" i="65" s="1"/>
  <c r="G124" i="65"/>
  <c r="G191" i="65" s="1"/>
  <c r="H124" i="65"/>
  <c r="H191" i="65" s="1"/>
  <c r="I124" i="65"/>
  <c r="I191" i="65"/>
  <c r="J124" i="65"/>
  <c r="K124" i="65"/>
  <c r="K191" i="65"/>
  <c r="L124" i="65"/>
  <c r="L191" i="65" s="1"/>
  <c r="M124" i="65"/>
  <c r="M191" i="65"/>
  <c r="N124" i="65"/>
  <c r="N191" i="65" s="1"/>
  <c r="O124" i="65"/>
  <c r="O191" i="65" s="1"/>
  <c r="P124" i="65"/>
  <c r="P191" i="65" s="1"/>
  <c r="G125" i="65"/>
  <c r="H125" i="65"/>
  <c r="H192" i="65" s="1"/>
  <c r="I125" i="65"/>
  <c r="I192" i="65" s="1"/>
  <c r="J125" i="65"/>
  <c r="J192" i="65" s="1"/>
  <c r="K125" i="65"/>
  <c r="K192" i="65"/>
  <c r="L125" i="65"/>
  <c r="M125" i="65"/>
  <c r="M192" i="65" s="1"/>
  <c r="N125" i="65"/>
  <c r="N192" i="65" s="1"/>
  <c r="O125" i="65"/>
  <c r="O192" i="65" s="1"/>
  <c r="P125" i="65"/>
  <c r="P192" i="65" s="1"/>
  <c r="G126" i="65"/>
  <c r="H126" i="65"/>
  <c r="Q126" i="65" s="1"/>
  <c r="H193" i="65"/>
  <c r="I126" i="65"/>
  <c r="I193" i="65" s="1"/>
  <c r="J126" i="65"/>
  <c r="J193" i="65"/>
  <c r="K126" i="65"/>
  <c r="K193" i="65" s="1"/>
  <c r="L126" i="65"/>
  <c r="L193" i="65" s="1"/>
  <c r="M126" i="65"/>
  <c r="M193" i="65" s="1"/>
  <c r="N126" i="65"/>
  <c r="N193" i="65"/>
  <c r="O126" i="65"/>
  <c r="O193" i="65" s="1"/>
  <c r="P126" i="65"/>
  <c r="P193" i="65"/>
  <c r="G127" i="65"/>
  <c r="G194" i="65" s="1"/>
  <c r="H127" i="65"/>
  <c r="H194" i="65"/>
  <c r="I127" i="65"/>
  <c r="I194" i="65"/>
  <c r="J127" i="65"/>
  <c r="J194" i="65" s="1"/>
  <c r="K127" i="65"/>
  <c r="K194" i="65" s="1"/>
  <c r="L127" i="65"/>
  <c r="L194" i="65" s="1"/>
  <c r="M127" i="65"/>
  <c r="M194" i="65"/>
  <c r="N127" i="65"/>
  <c r="N194" i="65" s="1"/>
  <c r="O127" i="65"/>
  <c r="P127" i="65"/>
  <c r="P194" i="65" s="1"/>
  <c r="G128" i="65"/>
  <c r="G195" i="65" s="1"/>
  <c r="H128" i="65"/>
  <c r="H195" i="65" s="1"/>
  <c r="I128" i="65"/>
  <c r="I195" i="65" s="1"/>
  <c r="J128" i="65"/>
  <c r="Q128" i="65" s="1"/>
  <c r="J195" i="65"/>
  <c r="K128" i="65"/>
  <c r="K195" i="65" s="1"/>
  <c r="L128" i="65"/>
  <c r="L195" i="65" s="1"/>
  <c r="M128" i="65"/>
  <c r="M195" i="65" s="1"/>
  <c r="N128" i="65"/>
  <c r="N195" i="65"/>
  <c r="O128" i="65"/>
  <c r="O195" i="65" s="1"/>
  <c r="P128" i="65"/>
  <c r="P195" i="65" s="1"/>
  <c r="G129" i="65"/>
  <c r="H129" i="65"/>
  <c r="H196" i="65" s="1"/>
  <c r="I129" i="65"/>
  <c r="I196" i="65"/>
  <c r="J129" i="65"/>
  <c r="J196" i="65"/>
  <c r="K129" i="65"/>
  <c r="K196" i="65" s="1"/>
  <c r="L129" i="65"/>
  <c r="L196" i="65" s="1"/>
  <c r="M129" i="65"/>
  <c r="M196" i="65"/>
  <c r="N129" i="65"/>
  <c r="N196" i="65"/>
  <c r="O129" i="65"/>
  <c r="O196" i="65" s="1"/>
  <c r="P129" i="65"/>
  <c r="P196" i="65" s="1"/>
  <c r="G130" i="65"/>
  <c r="G197" i="65"/>
  <c r="H130" i="65"/>
  <c r="H197" i="65"/>
  <c r="I130" i="65"/>
  <c r="I197" i="65" s="1"/>
  <c r="J130" i="65"/>
  <c r="J197" i="65" s="1"/>
  <c r="K130" i="65"/>
  <c r="K197" i="65"/>
  <c r="L130" i="65"/>
  <c r="L197" i="65"/>
  <c r="M130" i="65"/>
  <c r="M197" i="65" s="1"/>
  <c r="N130" i="65"/>
  <c r="N197" i="65" s="1"/>
  <c r="O130" i="65"/>
  <c r="O197" i="65"/>
  <c r="P130" i="65"/>
  <c r="P197" i="65"/>
  <c r="G131" i="65"/>
  <c r="G198" i="65" s="1"/>
  <c r="H131" i="65"/>
  <c r="H198" i="65" s="1"/>
  <c r="I131" i="65"/>
  <c r="I198" i="65"/>
  <c r="J131" i="65"/>
  <c r="J198" i="65"/>
  <c r="K131" i="65"/>
  <c r="K198" i="65" s="1"/>
  <c r="L131" i="65"/>
  <c r="L198" i="65" s="1"/>
  <c r="M131" i="65"/>
  <c r="M198" i="65"/>
  <c r="N131" i="65"/>
  <c r="N198" i="65"/>
  <c r="O131" i="65"/>
  <c r="O198" i="65" s="1"/>
  <c r="P131" i="65"/>
  <c r="P198" i="65" s="1"/>
  <c r="G132" i="65"/>
  <c r="G199" i="65"/>
  <c r="H132" i="65"/>
  <c r="Q132" i="65" s="1"/>
  <c r="H199" i="65"/>
  <c r="I132" i="65"/>
  <c r="I199" i="65" s="1"/>
  <c r="J132" i="65"/>
  <c r="J199" i="65" s="1"/>
  <c r="K132" i="65"/>
  <c r="K199" i="65"/>
  <c r="L132" i="65"/>
  <c r="L199" i="65"/>
  <c r="M132" i="65"/>
  <c r="M199" i="65" s="1"/>
  <c r="N132" i="65"/>
  <c r="N199" i="65" s="1"/>
  <c r="O132" i="65"/>
  <c r="O199" i="65"/>
  <c r="P132" i="65"/>
  <c r="P199" i="65"/>
  <c r="G133" i="65"/>
  <c r="H133" i="65"/>
  <c r="H200" i="65" s="1"/>
  <c r="I133" i="65"/>
  <c r="I200" i="65" s="1"/>
  <c r="J133" i="65"/>
  <c r="J200" i="65"/>
  <c r="K133" i="65"/>
  <c r="K200" i="65"/>
  <c r="L133" i="65"/>
  <c r="L200" i="65" s="1"/>
  <c r="M133" i="65"/>
  <c r="M200" i="65"/>
  <c r="N133" i="65"/>
  <c r="N200" i="65" s="1"/>
  <c r="O133" i="65"/>
  <c r="O200" i="65" s="1"/>
  <c r="P133" i="65"/>
  <c r="P200" i="65" s="1"/>
  <c r="G134" i="65"/>
  <c r="H134" i="65"/>
  <c r="H201" i="65" s="1"/>
  <c r="I134" i="65"/>
  <c r="I201" i="65" s="1"/>
  <c r="J134" i="65"/>
  <c r="J201" i="65" s="1"/>
  <c r="K134" i="65"/>
  <c r="K201" i="65" s="1"/>
  <c r="L134" i="65"/>
  <c r="L201" i="65"/>
  <c r="M134" i="65"/>
  <c r="M201" i="65" s="1"/>
  <c r="N134" i="65"/>
  <c r="N201" i="65" s="1"/>
  <c r="O134" i="65"/>
  <c r="O201" i="65"/>
  <c r="P134" i="65"/>
  <c r="P201" i="65" s="1"/>
  <c r="G135" i="65"/>
  <c r="G202" i="65" s="1"/>
  <c r="H135" i="65"/>
  <c r="H202" i="65" s="1"/>
  <c r="I135" i="65"/>
  <c r="J135" i="65"/>
  <c r="J202" i="65"/>
  <c r="K135" i="65"/>
  <c r="K202" i="65" s="1"/>
  <c r="L135" i="65"/>
  <c r="L202" i="65" s="1"/>
  <c r="M135" i="65"/>
  <c r="M202" i="65"/>
  <c r="N135" i="65"/>
  <c r="N202" i="65" s="1"/>
  <c r="O135" i="65"/>
  <c r="O202" i="65" s="1"/>
  <c r="P135" i="65"/>
  <c r="P202" i="65" s="1"/>
  <c r="G136" i="65"/>
  <c r="G203" i="65"/>
  <c r="H136" i="65"/>
  <c r="H203" i="65"/>
  <c r="I136" i="65"/>
  <c r="I203" i="65" s="1"/>
  <c r="J136" i="65"/>
  <c r="J203" i="65" s="1"/>
  <c r="K136" i="65"/>
  <c r="K203" i="65"/>
  <c r="L136" i="65"/>
  <c r="L203" i="65"/>
  <c r="M136" i="65"/>
  <c r="M203" i="65" s="1"/>
  <c r="N136" i="65"/>
  <c r="N203" i="65" s="1"/>
  <c r="O136" i="65"/>
  <c r="O203" i="65" s="1"/>
  <c r="P136" i="65"/>
  <c r="P203" i="65"/>
  <c r="G137" i="65"/>
  <c r="H137" i="65"/>
  <c r="H204" i="65"/>
  <c r="I137" i="65"/>
  <c r="I204" i="65" s="1"/>
  <c r="J137" i="65"/>
  <c r="J204" i="65" s="1"/>
  <c r="K137" i="65"/>
  <c r="K204" i="65"/>
  <c r="L137" i="65"/>
  <c r="L204" i="65" s="1"/>
  <c r="M137" i="65"/>
  <c r="M204" i="65" s="1"/>
  <c r="N137" i="65"/>
  <c r="N204" i="65"/>
  <c r="O137" i="65"/>
  <c r="O204" i="65" s="1"/>
  <c r="P137" i="65"/>
  <c r="P204" i="65" s="1"/>
  <c r="H73" i="65"/>
  <c r="H140" i="65" s="1"/>
  <c r="I73" i="65"/>
  <c r="I140" i="65"/>
  <c r="J73" i="65"/>
  <c r="J140" i="65" s="1"/>
  <c r="K73" i="65"/>
  <c r="K140" i="65"/>
  <c r="L73" i="65"/>
  <c r="L140" i="65" s="1"/>
  <c r="M73" i="65"/>
  <c r="M140" i="65"/>
  <c r="N73" i="65"/>
  <c r="N140" i="65"/>
  <c r="O73" i="65"/>
  <c r="O140" i="65"/>
  <c r="P73" i="65"/>
  <c r="P140" i="65" s="1"/>
  <c r="G73" i="65"/>
  <c r="G140" i="65" s="1"/>
  <c r="N28" i="63"/>
  <c r="N29" i="63"/>
  <c r="O30" i="63"/>
  <c r="O27" i="63"/>
  <c r="V76" i="22"/>
  <c r="U76" i="22"/>
  <c r="V75" i="22"/>
  <c r="U75" i="22"/>
  <c r="V74" i="22"/>
  <c r="U74" i="22"/>
  <c r="V73" i="22"/>
  <c r="U73" i="22"/>
  <c r="V72" i="22"/>
  <c r="U72" i="22"/>
  <c r="V71" i="22"/>
  <c r="U71" i="22"/>
  <c r="J69" i="25"/>
  <c r="J72" i="25"/>
  <c r="J73" i="25"/>
  <c r="C67" i="25"/>
  <c r="D67" i="25"/>
  <c r="E67" i="25"/>
  <c r="F67" i="25"/>
  <c r="G67" i="25"/>
  <c r="H67" i="25"/>
  <c r="I67" i="25"/>
  <c r="C68" i="25"/>
  <c r="C69" i="25"/>
  <c r="D69" i="25"/>
  <c r="E69" i="25"/>
  <c r="F69" i="25"/>
  <c r="G69" i="25"/>
  <c r="H69" i="25"/>
  <c r="I69" i="25"/>
  <c r="C70" i="25"/>
  <c r="C71" i="25"/>
  <c r="D71" i="25"/>
  <c r="E71" i="25"/>
  <c r="F71" i="25"/>
  <c r="G71" i="25"/>
  <c r="H71" i="25"/>
  <c r="I71" i="25"/>
  <c r="C72" i="25"/>
  <c r="D72" i="25"/>
  <c r="E72" i="25"/>
  <c r="F72" i="25"/>
  <c r="G72" i="25"/>
  <c r="H72" i="25"/>
  <c r="I72" i="25"/>
  <c r="C73" i="25"/>
  <c r="F73" i="25"/>
  <c r="G73" i="25"/>
  <c r="H73" i="25"/>
  <c r="H80" i="25" s="1"/>
  <c r="I73" i="25"/>
  <c r="D66" i="25"/>
  <c r="E66" i="25"/>
  <c r="F66" i="25"/>
  <c r="G66" i="25"/>
  <c r="H66" i="25"/>
  <c r="I66" i="25"/>
  <c r="C66" i="25"/>
  <c r="C80" i="25" s="1"/>
  <c r="AF9" i="32"/>
  <c r="K69" i="25" s="1"/>
  <c r="AF12" i="32"/>
  <c r="K72" i="25" s="1"/>
  <c r="AF13" i="32"/>
  <c r="K73" i="25" s="1"/>
  <c r="AE25" i="32"/>
  <c r="AE24" i="32"/>
  <c r="AE21" i="32"/>
  <c r="G38" i="36"/>
  <c r="H38" i="36"/>
  <c r="G36" i="36"/>
  <c r="H36" i="36" s="1"/>
  <c r="G37" i="36"/>
  <c r="H37" i="36"/>
  <c r="G35" i="36"/>
  <c r="H35" i="36" s="1"/>
  <c r="G19" i="36"/>
  <c r="G20" i="36"/>
  <c r="G21" i="36"/>
  <c r="G22" i="36"/>
  <c r="G18" i="36"/>
  <c r="G6" i="69"/>
  <c r="G3" i="69"/>
  <c r="H24" i="70"/>
  <c r="H25" i="70" s="1"/>
  <c r="G7" i="69"/>
  <c r="E18" i="70"/>
  <c r="G5" i="69"/>
  <c r="E24" i="70"/>
  <c r="K9" i="70"/>
  <c r="L17" i="70"/>
  <c r="J23" i="70"/>
  <c r="K23" i="70" s="1"/>
  <c r="H11" i="70"/>
  <c r="E23" i="70"/>
  <c r="K10" i="70"/>
  <c r="H23" i="70"/>
  <c r="H18" i="70"/>
  <c r="E11" i="70"/>
  <c r="K24" i="70"/>
  <c r="F211" i="65"/>
  <c r="U211" i="65"/>
  <c r="M13" i="25" s="1"/>
  <c r="AA210" i="65"/>
  <c r="S12" i="25" s="1"/>
  <c r="S210" i="65"/>
  <c r="K12" i="25" s="1"/>
  <c r="K210" i="65"/>
  <c r="D12" i="25" s="1"/>
  <c r="AB211" i="65"/>
  <c r="T13" i="25" s="1"/>
  <c r="T211" i="65"/>
  <c r="L13" i="25" s="1"/>
  <c r="L211" i="65"/>
  <c r="E13" i="25" s="1"/>
  <c r="R210" i="65"/>
  <c r="J12" i="25" s="1"/>
  <c r="J210" i="65"/>
  <c r="C12" i="25"/>
  <c r="Y210" i="65"/>
  <c r="Q12" i="25" s="1"/>
  <c r="Q210" i="65"/>
  <c r="I210" i="65"/>
  <c r="X210" i="65"/>
  <c r="P12" i="25" s="1"/>
  <c r="P210" i="65"/>
  <c r="I12" i="25" s="1"/>
  <c r="H210" i="65"/>
  <c r="W210" i="65"/>
  <c r="O12" i="25"/>
  <c r="O210" i="65"/>
  <c r="H12" i="25" s="1"/>
  <c r="G210" i="65"/>
  <c r="V210" i="65"/>
  <c r="N12" i="25" s="1"/>
  <c r="N210" i="65"/>
  <c r="G12" i="25" s="1"/>
  <c r="Q156" i="65"/>
  <c r="R156" i="65" s="1"/>
  <c r="S156" i="65" s="1"/>
  <c r="T156" i="65" s="1"/>
  <c r="U156" i="65" s="1"/>
  <c r="V156" i="65" s="1"/>
  <c r="W156" i="65" s="1"/>
  <c r="X156" i="65" s="1"/>
  <c r="Y156" i="65" s="1"/>
  <c r="Z156" i="65" s="1"/>
  <c r="AA156" i="65" s="1"/>
  <c r="AB156" i="65" s="1"/>
  <c r="Q122" i="65"/>
  <c r="G178" i="65"/>
  <c r="Q111" i="65"/>
  <c r="Q131" i="65"/>
  <c r="Q99" i="65"/>
  <c r="G177" i="65"/>
  <c r="G169" i="65"/>
  <c r="Q102" i="65"/>
  <c r="G161" i="65"/>
  <c r="Q94" i="65"/>
  <c r="Q86" i="65"/>
  <c r="G145" i="65"/>
  <c r="Q78" i="65"/>
  <c r="G190" i="65"/>
  <c r="G182" i="65"/>
  <c r="Q130" i="65"/>
  <c r="Q98" i="65"/>
  <c r="Q107" i="65"/>
  <c r="G162" i="65"/>
  <c r="Q95" i="65"/>
  <c r="Q91" i="65"/>
  <c r="G154" i="65"/>
  <c r="Q87" i="65"/>
  <c r="Q133" i="65"/>
  <c r="Q129" i="65"/>
  <c r="Q101" i="65"/>
  <c r="Q97" i="65"/>
  <c r="Q85" i="65"/>
  <c r="Q81" i="65"/>
  <c r="Q77" i="65"/>
  <c r="G193" i="65"/>
  <c r="G189" i="65"/>
  <c r="G185" i="65"/>
  <c r="G181" i="65"/>
  <c r="G168" i="65"/>
  <c r="G152" i="65"/>
  <c r="Q90" i="65"/>
  <c r="Q75" i="65"/>
  <c r="Q74" i="65"/>
  <c r="Q83" i="65"/>
  <c r="G170" i="65"/>
  <c r="Q103" i="65"/>
  <c r="Q106" i="65"/>
  <c r="Q136" i="65"/>
  <c r="Q112" i="65"/>
  <c r="G179" i="65"/>
  <c r="Q179" i="65" s="1"/>
  <c r="G175" i="65"/>
  <c r="G171" i="65"/>
  <c r="G163" i="65"/>
  <c r="G159" i="65"/>
  <c r="G155" i="65"/>
  <c r="Q84" i="65"/>
  <c r="G151" i="65"/>
  <c r="Q151" i="65" s="1"/>
  <c r="G147" i="65"/>
  <c r="G143" i="65"/>
  <c r="G204" i="65"/>
  <c r="G200" i="65"/>
  <c r="G196" i="65"/>
  <c r="G192" i="65"/>
  <c r="G188" i="65"/>
  <c r="G184" i="65"/>
  <c r="G180" i="65"/>
  <c r="G164" i="65"/>
  <c r="G148" i="65"/>
  <c r="C86" i="25"/>
  <c r="I80" i="25"/>
  <c r="G80" i="25"/>
  <c r="F80" i="25"/>
  <c r="E25" i="70"/>
  <c r="K11" i="70"/>
  <c r="L11" i="70" s="1"/>
  <c r="L10" i="70"/>
  <c r="R21" i="65"/>
  <c r="S21" i="65" s="1"/>
  <c r="R6" i="65"/>
  <c r="S6" i="65" s="1"/>
  <c r="R141" i="65"/>
  <c r="S141" i="65" s="1"/>
  <c r="T141" i="65" s="1"/>
  <c r="U141" i="65" s="1"/>
  <c r="V141" i="65" s="1"/>
  <c r="W141" i="65" s="1"/>
  <c r="X141" i="65" s="1"/>
  <c r="Y141" i="65" s="1"/>
  <c r="Z141" i="65" s="1"/>
  <c r="AA141" i="65" s="1"/>
  <c r="AB141" i="65" s="1"/>
  <c r="T6" i="65"/>
  <c r="U6" i="65" s="1"/>
  <c r="V6" i="65" s="1"/>
  <c r="W6" i="65" s="1"/>
  <c r="X6" i="65" s="1"/>
  <c r="Y6" i="65" s="1"/>
  <c r="Z6" i="65" s="1"/>
  <c r="AA6" i="65" s="1"/>
  <c r="AB6" i="65" s="1"/>
  <c r="AK24" i="64"/>
  <c r="T126" i="25" s="1"/>
  <c r="AJ24" i="64"/>
  <c r="S126" i="25"/>
  <c r="AI24" i="64"/>
  <c r="R126" i="25" s="1"/>
  <c r="AH24" i="64"/>
  <c r="Q126" i="25" s="1"/>
  <c r="AG24" i="64"/>
  <c r="P126" i="25" s="1"/>
  <c r="AF24" i="64"/>
  <c r="O126" i="25"/>
  <c r="AE24" i="64"/>
  <c r="N126" i="25"/>
  <c r="AD24" i="64"/>
  <c r="M126" i="25" s="1"/>
  <c r="AC24" i="64"/>
  <c r="L126" i="25"/>
  <c r="AB24" i="64"/>
  <c r="K126" i="25" s="1"/>
  <c r="AA24" i="64"/>
  <c r="J126" i="25"/>
  <c r="X24" i="64"/>
  <c r="I126" i="25" s="1"/>
  <c r="Z23" i="64"/>
  <c r="Y23" i="64"/>
  <c r="E133" i="41"/>
  <c r="F133" i="41"/>
  <c r="G133" i="41"/>
  <c r="H133" i="41"/>
  <c r="I133" i="41"/>
  <c r="J133" i="41"/>
  <c r="K133" i="41"/>
  <c r="L133" i="41"/>
  <c r="M133" i="41"/>
  <c r="E132" i="41"/>
  <c r="F132" i="41"/>
  <c r="G132" i="41"/>
  <c r="H132" i="41"/>
  <c r="I132" i="41"/>
  <c r="J132" i="41"/>
  <c r="K132" i="41"/>
  <c r="L132" i="41"/>
  <c r="M132" i="41"/>
  <c r="D132" i="41"/>
  <c r="D133" i="41"/>
  <c r="E131" i="41"/>
  <c r="F131" i="41"/>
  <c r="G131" i="41"/>
  <c r="H131" i="41"/>
  <c r="I131" i="41"/>
  <c r="J131" i="41"/>
  <c r="K131" i="41"/>
  <c r="L131" i="41"/>
  <c r="M131" i="41"/>
  <c r="D131" i="41"/>
  <c r="C99" i="41"/>
  <c r="D99" i="41"/>
  <c r="E99" i="41"/>
  <c r="F99" i="41"/>
  <c r="G99" i="41"/>
  <c r="H99" i="41"/>
  <c r="I99" i="41"/>
  <c r="J99" i="41"/>
  <c r="C100" i="41"/>
  <c r="D100" i="41"/>
  <c r="E100" i="41"/>
  <c r="F100" i="41"/>
  <c r="G100" i="41"/>
  <c r="H100" i="41"/>
  <c r="I100" i="41"/>
  <c r="J100" i="41"/>
  <c r="C101" i="41"/>
  <c r="D101" i="41"/>
  <c r="E101" i="41"/>
  <c r="F101" i="41"/>
  <c r="G101" i="41"/>
  <c r="H101" i="41"/>
  <c r="I101" i="41"/>
  <c r="J101" i="41"/>
  <c r="C102" i="41"/>
  <c r="D102" i="41"/>
  <c r="E102" i="41"/>
  <c r="F102" i="41"/>
  <c r="G102" i="41"/>
  <c r="H102" i="41"/>
  <c r="I102" i="41"/>
  <c r="J102" i="41"/>
  <c r="C103" i="41"/>
  <c r="D103" i="41"/>
  <c r="E103" i="41"/>
  <c r="F103" i="41"/>
  <c r="G103" i="41"/>
  <c r="H103" i="41"/>
  <c r="I103" i="41"/>
  <c r="J103" i="41"/>
  <c r="C104" i="41"/>
  <c r="D104" i="41"/>
  <c r="E104" i="41"/>
  <c r="F104" i="41"/>
  <c r="G104" i="41"/>
  <c r="H104" i="41"/>
  <c r="I104" i="41"/>
  <c r="J104" i="41"/>
  <c r="C105" i="41"/>
  <c r="D105" i="41"/>
  <c r="E105" i="41"/>
  <c r="F105" i="41"/>
  <c r="G105" i="41"/>
  <c r="H105" i="41"/>
  <c r="I105" i="41"/>
  <c r="J105" i="41"/>
  <c r="C106" i="41"/>
  <c r="D106" i="41"/>
  <c r="E106" i="41"/>
  <c r="F106" i="41"/>
  <c r="G106" i="41"/>
  <c r="H106" i="41"/>
  <c r="I106" i="41"/>
  <c r="J106" i="41"/>
  <c r="C107" i="41"/>
  <c r="D107" i="41"/>
  <c r="E107" i="41"/>
  <c r="F107" i="41"/>
  <c r="G107" i="41"/>
  <c r="H107" i="41"/>
  <c r="I107" i="41"/>
  <c r="J107" i="41"/>
  <c r="C108" i="41"/>
  <c r="D108" i="41"/>
  <c r="E108" i="41"/>
  <c r="F108" i="41"/>
  <c r="G108" i="41"/>
  <c r="H108" i="41"/>
  <c r="I108" i="41"/>
  <c r="J108" i="41"/>
  <c r="C109" i="41"/>
  <c r="D109" i="41"/>
  <c r="E109" i="41"/>
  <c r="F109" i="41"/>
  <c r="G109" i="41"/>
  <c r="H109" i="41"/>
  <c r="I109" i="41"/>
  <c r="J109" i="41"/>
  <c r="C110" i="41"/>
  <c r="D110" i="41"/>
  <c r="E110" i="41"/>
  <c r="F110" i="41"/>
  <c r="G110" i="41"/>
  <c r="H110" i="41"/>
  <c r="I110" i="41"/>
  <c r="J110" i="41"/>
  <c r="C111" i="41"/>
  <c r="D111" i="41"/>
  <c r="E111" i="41"/>
  <c r="F111" i="41"/>
  <c r="G111" i="41"/>
  <c r="H111" i="41"/>
  <c r="I111" i="41"/>
  <c r="J111" i="41"/>
  <c r="C112" i="41"/>
  <c r="D112" i="41"/>
  <c r="E112" i="41"/>
  <c r="F112" i="41"/>
  <c r="G112" i="41"/>
  <c r="H112" i="41"/>
  <c r="I112" i="41"/>
  <c r="J112" i="41"/>
  <c r="C113" i="41"/>
  <c r="D113" i="41"/>
  <c r="E113" i="41"/>
  <c r="F113" i="41"/>
  <c r="G113" i="41"/>
  <c r="H113" i="41"/>
  <c r="I113" i="41"/>
  <c r="J113" i="41"/>
  <c r="C114" i="41"/>
  <c r="D114" i="41"/>
  <c r="E114" i="41"/>
  <c r="F114" i="41"/>
  <c r="G114" i="41"/>
  <c r="H114" i="41"/>
  <c r="I114" i="41"/>
  <c r="J114" i="41"/>
  <c r="D98" i="41"/>
  <c r="E98" i="41"/>
  <c r="F98" i="41"/>
  <c r="G98" i="41"/>
  <c r="H98" i="41"/>
  <c r="I98" i="41"/>
  <c r="J98" i="41"/>
  <c r="C98" i="41"/>
  <c r="U12" i="64"/>
  <c r="U13" i="64" s="1"/>
  <c r="M12" i="64"/>
  <c r="M13" i="64" s="1"/>
  <c r="E12" i="64"/>
  <c r="E13" i="64" s="1"/>
  <c r="Y13" i="64" s="1"/>
  <c r="F12" i="64"/>
  <c r="F13" i="64" s="1"/>
  <c r="V13" i="64"/>
  <c r="N12" i="64"/>
  <c r="N13" i="64" s="1"/>
  <c r="J12" i="64"/>
  <c r="J13" i="64"/>
  <c r="I12" i="64"/>
  <c r="I13" i="64" s="1"/>
  <c r="Q12" i="64"/>
  <c r="Q13" i="64" s="1"/>
  <c r="L13" i="64"/>
  <c r="T12" i="64"/>
  <c r="T13" i="64" s="1"/>
  <c r="H12" i="64"/>
  <c r="H13" i="64" s="1"/>
  <c r="P12" i="64"/>
  <c r="P13" i="64" s="1"/>
  <c r="K12" i="64"/>
  <c r="K13" i="64" s="1"/>
  <c r="R12" i="64"/>
  <c r="R13" i="64"/>
  <c r="S12" i="64"/>
  <c r="S13" i="64" s="1"/>
  <c r="G12" i="64"/>
  <c r="G13" i="64"/>
  <c r="O12" i="64"/>
  <c r="O13" i="64" s="1"/>
  <c r="J23" i="43"/>
  <c r="I23" i="43"/>
  <c r="H23" i="43"/>
  <c r="I31" i="43" s="1"/>
  <c r="I39" i="43" s="1"/>
  <c r="G23" i="43"/>
  <c r="F23" i="43"/>
  <c r="E23" i="43"/>
  <c r="F31" i="43" s="1"/>
  <c r="F39" i="43" s="1"/>
  <c r="D23" i="43"/>
  <c r="E31" i="43" s="1"/>
  <c r="Y15" i="43"/>
  <c r="Z15" i="43"/>
  <c r="Z14" i="43"/>
  <c r="Z13" i="43"/>
  <c r="Z12" i="43"/>
  <c r="Y14" i="43"/>
  <c r="Y13" i="43"/>
  <c r="Y12" i="43"/>
  <c r="E22" i="43"/>
  <c r="F22" i="43"/>
  <c r="G22" i="43"/>
  <c r="H22" i="43"/>
  <c r="I30" i="43" s="1"/>
  <c r="I38" i="43" s="1"/>
  <c r="I22" i="43"/>
  <c r="J30" i="43" s="1"/>
  <c r="J38" i="43" s="1"/>
  <c r="J22" i="43"/>
  <c r="K22" i="43"/>
  <c r="K30" i="43" s="1"/>
  <c r="K38" i="43" s="1"/>
  <c r="L22" i="43"/>
  <c r="L30" i="43" s="1"/>
  <c r="L38" i="43" s="1"/>
  <c r="M22" i="43"/>
  <c r="N22" i="43"/>
  <c r="O22" i="43"/>
  <c r="O30" i="43" s="1"/>
  <c r="O38" i="43" s="1"/>
  <c r="P22" i="43"/>
  <c r="P30" i="43" s="1"/>
  <c r="P38" i="43" s="1"/>
  <c r="Q22" i="43"/>
  <c r="R22" i="43"/>
  <c r="C116" i="25"/>
  <c r="S22" i="43"/>
  <c r="T22" i="43"/>
  <c r="E116" i="25"/>
  <c r="U22" i="43"/>
  <c r="V30" i="43" s="1"/>
  <c r="V38" i="43" s="1"/>
  <c r="V22" i="43"/>
  <c r="G116" i="25" s="1"/>
  <c r="W22" i="43"/>
  <c r="W30" i="43" s="1"/>
  <c r="W38" i="43" s="1"/>
  <c r="H116" i="25"/>
  <c r="X22" i="43"/>
  <c r="I116" i="25" s="1"/>
  <c r="D22" i="43"/>
  <c r="G31" i="43"/>
  <c r="G39" i="43" s="1"/>
  <c r="K39" i="43"/>
  <c r="J31" i="43"/>
  <c r="J39" i="43" s="1"/>
  <c r="N30" i="43"/>
  <c r="N38" i="43" s="1"/>
  <c r="G30" i="43"/>
  <c r="G38" i="43" s="1"/>
  <c r="X30" i="43"/>
  <c r="X38" i="43"/>
  <c r="R30" i="43"/>
  <c r="R38" i="43" s="1"/>
  <c r="V62" i="22"/>
  <c r="U62" i="22"/>
  <c r="I62" i="22"/>
  <c r="L62" i="22" s="1"/>
  <c r="V61" i="22"/>
  <c r="U61" i="22"/>
  <c r="I61" i="22"/>
  <c r="L61" i="22"/>
  <c r="V60" i="22"/>
  <c r="V63" i="22" s="1"/>
  <c r="U60" i="22"/>
  <c r="I60" i="22"/>
  <c r="L60" i="22" s="1"/>
  <c r="V59" i="22"/>
  <c r="U59" i="22"/>
  <c r="N59" i="22"/>
  <c r="Q59" i="22" s="1"/>
  <c r="I59" i="22"/>
  <c r="L59" i="22" s="1"/>
  <c r="V58" i="22"/>
  <c r="U58" i="22"/>
  <c r="I58" i="22"/>
  <c r="L58" i="22"/>
  <c r="V57" i="22"/>
  <c r="U57" i="22"/>
  <c r="I57" i="22"/>
  <c r="L57" i="22" s="1"/>
  <c r="V49" i="22"/>
  <c r="U49" i="22"/>
  <c r="Q49" i="22"/>
  <c r="P49" i="22"/>
  <c r="P62" i="22" s="1"/>
  <c r="N62" i="22" s="1"/>
  <c r="Q62" i="22" s="1"/>
  <c r="L49" i="22"/>
  <c r="K49" i="22"/>
  <c r="K76" i="22" s="1"/>
  <c r="I76" i="22" s="1"/>
  <c r="L76" i="22" s="1"/>
  <c r="V48" i="22"/>
  <c r="U48" i="22"/>
  <c r="Q48" i="22"/>
  <c r="P48" i="22"/>
  <c r="P61" i="22" s="1"/>
  <c r="N61" i="22" s="1"/>
  <c r="Q61" i="22" s="1"/>
  <c r="L48" i="22"/>
  <c r="K48" i="22"/>
  <c r="K75" i="22" s="1"/>
  <c r="I75" i="22" s="1"/>
  <c r="L75" i="22" s="1"/>
  <c r="V47" i="22"/>
  <c r="U47" i="22"/>
  <c r="Q47" i="22"/>
  <c r="P47" i="22"/>
  <c r="P60" i="22" s="1"/>
  <c r="N60" i="22" s="1"/>
  <c r="Q60" i="22" s="1"/>
  <c r="L47" i="22"/>
  <c r="K47" i="22"/>
  <c r="K74" i="22" s="1"/>
  <c r="I74" i="22" s="1"/>
  <c r="L74" i="22" s="1"/>
  <c r="V46" i="22"/>
  <c r="U46" i="22"/>
  <c r="Q46" i="22"/>
  <c r="Q50" i="22" s="1"/>
  <c r="P46" i="22"/>
  <c r="P73" i="22"/>
  <c r="N73" i="22"/>
  <c r="Q73" i="22" s="1"/>
  <c r="L46" i="22"/>
  <c r="K46" i="22"/>
  <c r="K73" i="22"/>
  <c r="I73" i="22"/>
  <c r="L73" i="22" s="1"/>
  <c r="V45" i="22"/>
  <c r="U45" i="22"/>
  <c r="Q45" i="22"/>
  <c r="P45" i="22"/>
  <c r="L45" i="22"/>
  <c r="K45" i="22"/>
  <c r="K72" i="22"/>
  <c r="I72" i="22" s="1"/>
  <c r="L72" i="22" s="1"/>
  <c r="V44" i="22"/>
  <c r="U44" i="22"/>
  <c r="Q44" i="22"/>
  <c r="P44" i="22"/>
  <c r="L44" i="22"/>
  <c r="K44" i="22"/>
  <c r="K71" i="22" s="1"/>
  <c r="I71" i="22" s="1"/>
  <c r="L71" i="22" s="1"/>
  <c r="T18" i="22"/>
  <c r="T17" i="22" s="1"/>
  <c r="P58" i="22"/>
  <c r="N58" i="22" s="1"/>
  <c r="Q58" i="22" s="1"/>
  <c r="P72" i="22"/>
  <c r="N72" i="22"/>
  <c r="Q72" i="22" s="1"/>
  <c r="P57" i="22"/>
  <c r="N57" i="22"/>
  <c r="Q57" i="22" s="1"/>
  <c r="P71" i="22"/>
  <c r="N71" i="22" s="1"/>
  <c r="Q71" i="22" s="1"/>
  <c r="P75" i="22"/>
  <c r="N75" i="22" s="1"/>
  <c r="Q75" i="22" s="1"/>
  <c r="S23" i="37"/>
  <c r="L23" i="41"/>
  <c r="L23" i="40"/>
  <c r="L24" i="38"/>
  <c r="L9" i="58"/>
  <c r="I456" i="36" s="1"/>
  <c r="I466" i="36" s="1"/>
  <c r="K9" i="58"/>
  <c r="L22" i="58"/>
  <c r="I454" i="36" s="1"/>
  <c r="I464" i="36" s="1"/>
  <c r="K22" i="58"/>
  <c r="K453" i="36" s="1"/>
  <c r="H170" i="21"/>
  <c r="F215" i="21"/>
  <c r="F156" i="21"/>
  <c r="F158" i="21"/>
  <c r="F203" i="21"/>
  <c r="G455" i="36"/>
  <c r="G465" i="36"/>
  <c r="E402" i="36"/>
  <c r="E412" i="36" s="1"/>
  <c r="H455" i="36"/>
  <c r="H465" i="36" s="1"/>
  <c r="E349" i="36"/>
  <c r="E359" i="36"/>
  <c r="K455" i="36"/>
  <c r="K465" i="36" s="1"/>
  <c r="D402" i="36"/>
  <c r="D412" i="36" s="1"/>
  <c r="F455" i="36"/>
  <c r="F465" i="36" s="1"/>
  <c r="I455" i="36"/>
  <c r="I465" i="36" s="1"/>
  <c r="E455" i="36"/>
  <c r="E465" i="36"/>
  <c r="E483" i="36" s="1"/>
  <c r="J455" i="36"/>
  <c r="J465" i="36" s="1"/>
  <c r="D349" i="36"/>
  <c r="D359" i="36" s="1"/>
  <c r="I349" i="36"/>
  <c r="I359" i="36"/>
  <c r="I402" i="36"/>
  <c r="I412" i="36" s="1"/>
  <c r="F349" i="36"/>
  <c r="F359" i="36" s="1"/>
  <c r="G402" i="36"/>
  <c r="G412" i="36" s="1"/>
  <c r="J402" i="36"/>
  <c r="J412" i="36" s="1"/>
  <c r="D455" i="36"/>
  <c r="D465" i="36"/>
  <c r="G349" i="36"/>
  <c r="G359" i="36" s="1"/>
  <c r="K349" i="36"/>
  <c r="K359" i="36" s="1"/>
  <c r="H402" i="36"/>
  <c r="H412" i="36"/>
  <c r="J349" i="36"/>
  <c r="J359" i="36" s="1"/>
  <c r="H349" i="36"/>
  <c r="H359" i="36" s="1"/>
  <c r="F402" i="36"/>
  <c r="F412" i="36" s="1"/>
  <c r="K402" i="36"/>
  <c r="K412" i="36" s="1"/>
  <c r="E453" i="36"/>
  <c r="J453" i="36"/>
  <c r="D347" i="36"/>
  <c r="D357" i="36" s="1"/>
  <c r="G347" i="36"/>
  <c r="G357" i="36" s="1"/>
  <c r="J347" i="36"/>
  <c r="F400" i="36"/>
  <c r="F410" i="36" s="1"/>
  <c r="E454" i="36"/>
  <c r="E464" i="36" s="1"/>
  <c r="F454" i="36"/>
  <c r="F464" i="36"/>
  <c r="G454" i="36"/>
  <c r="G464" i="36" s="1"/>
  <c r="D401" i="36"/>
  <c r="D411" i="36" s="1"/>
  <c r="H454" i="36"/>
  <c r="H464" i="36" s="1"/>
  <c r="F401" i="36"/>
  <c r="F411" i="36"/>
  <c r="K348" i="36"/>
  <c r="K358" i="36" s="1"/>
  <c r="G348" i="36"/>
  <c r="G358" i="36"/>
  <c r="H348" i="36"/>
  <c r="H358" i="36" s="1"/>
  <c r="K401" i="36"/>
  <c r="K411" i="36" s="1"/>
  <c r="J348" i="36"/>
  <c r="F348" i="36"/>
  <c r="F358" i="36" s="1"/>
  <c r="E350" i="36"/>
  <c r="E360" i="36" s="1"/>
  <c r="F456" i="36"/>
  <c r="F466" i="36"/>
  <c r="E403" i="36"/>
  <c r="E413" i="36" s="1"/>
  <c r="E456" i="36"/>
  <c r="E466" i="36"/>
  <c r="D350" i="36"/>
  <c r="D360" i="36" s="1"/>
  <c r="H350" i="36"/>
  <c r="H360" i="36"/>
  <c r="G403" i="36"/>
  <c r="G413" i="36" s="1"/>
  <c r="F403" i="36"/>
  <c r="F413" i="36" s="1"/>
  <c r="F427" i="36" s="1"/>
  <c r="D456" i="36"/>
  <c r="D466" i="36" s="1"/>
  <c r="G350" i="36"/>
  <c r="G360" i="36"/>
  <c r="I403" i="36"/>
  <c r="I413" i="36" s="1"/>
  <c r="K350" i="36"/>
  <c r="K360" i="36"/>
  <c r="J357" i="36"/>
  <c r="E463" i="36"/>
  <c r="E480" i="36" s="1"/>
  <c r="E457" i="36"/>
  <c r="F99" i="35" s="1"/>
  <c r="AP14" i="32"/>
  <c r="AE45" i="32"/>
  <c r="AE57" i="32"/>
  <c r="AE48" i="32"/>
  <c r="AE60" i="32" s="1"/>
  <c r="AE49" i="32"/>
  <c r="AE61" i="32" s="1"/>
  <c r="AF61" i="32"/>
  <c r="W45" i="32"/>
  <c r="W57" i="32" s="1"/>
  <c r="X45" i="32"/>
  <c r="X57" i="32" s="1"/>
  <c r="Y45" i="32"/>
  <c r="Y57" i="32" s="1"/>
  <c r="Z45" i="32"/>
  <c r="Z57" i="32" s="1"/>
  <c r="AA45" i="32"/>
  <c r="AA57" i="32" s="1"/>
  <c r="AB45" i="32"/>
  <c r="AB57" i="32" s="1"/>
  <c r="W47" i="32"/>
  <c r="W59" i="32" s="1"/>
  <c r="X47" i="32"/>
  <c r="X59" i="32" s="1"/>
  <c r="Y47" i="32"/>
  <c r="Y59" i="32"/>
  <c r="Z47" i="32"/>
  <c r="Z59" i="32" s="1"/>
  <c r="AA47" i="32"/>
  <c r="AA59" i="32" s="1"/>
  <c r="AB47" i="32"/>
  <c r="AB59" i="32" s="1"/>
  <c r="W48" i="32"/>
  <c r="W60" i="32"/>
  <c r="X48" i="32"/>
  <c r="X60" i="32" s="1"/>
  <c r="Y48" i="32"/>
  <c r="Y60" i="32" s="1"/>
  <c r="Z48" i="32"/>
  <c r="Z60" i="32" s="1"/>
  <c r="AA48" i="32"/>
  <c r="AA60" i="32" s="1"/>
  <c r="AB48" i="32"/>
  <c r="AB60" i="32" s="1"/>
  <c r="Y49" i="32"/>
  <c r="Y61" i="32" s="1"/>
  <c r="Z49" i="32"/>
  <c r="Z61" i="32" s="1"/>
  <c r="AA49" i="32"/>
  <c r="AA61" i="32"/>
  <c r="AB49" i="32"/>
  <c r="AB61" i="32" s="1"/>
  <c r="W42" i="32"/>
  <c r="W54" i="32" s="1"/>
  <c r="X42" i="32"/>
  <c r="X54" i="32" s="1"/>
  <c r="Y42" i="32"/>
  <c r="Y54" i="32"/>
  <c r="Z42" i="32"/>
  <c r="Z54" i="32" s="1"/>
  <c r="AA42" i="32"/>
  <c r="AA54" i="32" s="1"/>
  <c r="AB42" i="32"/>
  <c r="AB54" i="32" s="1"/>
  <c r="AC12" i="32"/>
  <c r="AC9" i="32"/>
  <c r="AC11" i="32"/>
  <c r="AC7" i="32"/>
  <c r="AC6" i="32"/>
  <c r="AH87" i="27"/>
  <c r="AI87" i="27"/>
  <c r="AJ87" i="27"/>
  <c r="AK87" i="27"/>
  <c r="AL87" i="27"/>
  <c r="AM87" i="27"/>
  <c r="AN87" i="27"/>
  <c r="AO87" i="27"/>
  <c r="AG87" i="27"/>
  <c r="AE63" i="27"/>
  <c r="AF61" i="27"/>
  <c r="AF62" i="27"/>
  <c r="AD60" i="27"/>
  <c r="AD55" i="27"/>
  <c r="AC60" i="26"/>
  <c r="AE47" i="32" s="1"/>
  <c r="H52" i="13"/>
  <c r="H53" i="13"/>
  <c r="G52" i="13"/>
  <c r="G53" i="13" s="1"/>
  <c r="F52" i="13"/>
  <c r="F53" i="13" s="1"/>
  <c r="E52" i="13"/>
  <c r="E53" i="13" s="1"/>
  <c r="D52" i="13"/>
  <c r="D53" i="13" s="1"/>
  <c r="H49" i="13"/>
  <c r="H50" i="13" s="1"/>
  <c r="G49" i="13"/>
  <c r="G50" i="13"/>
  <c r="F49" i="13"/>
  <c r="F50" i="13" s="1"/>
  <c r="E49" i="13"/>
  <c r="E50" i="13"/>
  <c r="D49" i="13"/>
  <c r="D50" i="13" s="1"/>
  <c r="H46" i="13"/>
  <c r="H47" i="13" s="1"/>
  <c r="G46" i="13"/>
  <c r="G47" i="13"/>
  <c r="F46" i="13"/>
  <c r="F47" i="13" s="1"/>
  <c r="E46" i="13"/>
  <c r="E47" i="13" s="1"/>
  <c r="D46" i="13"/>
  <c r="D47" i="13" s="1"/>
  <c r="H43" i="13"/>
  <c r="H44" i="13"/>
  <c r="G43" i="13"/>
  <c r="G44" i="13" s="1"/>
  <c r="F43" i="13"/>
  <c r="F44" i="13" s="1"/>
  <c r="E43" i="13"/>
  <c r="E44" i="13"/>
  <c r="D43" i="13"/>
  <c r="D44" i="13" s="1"/>
  <c r="H40" i="13"/>
  <c r="H41" i="13"/>
  <c r="G40" i="13"/>
  <c r="G41" i="13" s="1"/>
  <c r="F40" i="13"/>
  <c r="F41" i="13" s="1"/>
  <c r="E40" i="13"/>
  <c r="E41" i="13"/>
  <c r="D40" i="13"/>
  <c r="D41" i="13"/>
  <c r="H59" i="13"/>
  <c r="H60" i="13" s="1"/>
  <c r="G59" i="13"/>
  <c r="G60" i="13" s="1"/>
  <c r="F59" i="13"/>
  <c r="F60" i="13" s="1"/>
  <c r="E59" i="13"/>
  <c r="E60" i="13"/>
  <c r="D59" i="13"/>
  <c r="D60" i="13" s="1"/>
  <c r="H71" i="13"/>
  <c r="H72" i="13"/>
  <c r="G71" i="13"/>
  <c r="G72" i="13" s="1"/>
  <c r="F71" i="13"/>
  <c r="F72" i="13"/>
  <c r="E71" i="13"/>
  <c r="E72" i="13" s="1"/>
  <c r="D71" i="13"/>
  <c r="D72" i="13"/>
  <c r="H68" i="13"/>
  <c r="H69" i="13" s="1"/>
  <c r="G68" i="13"/>
  <c r="G69" i="13"/>
  <c r="F68" i="13"/>
  <c r="F69" i="13"/>
  <c r="E68" i="13"/>
  <c r="E69" i="13"/>
  <c r="D68" i="13"/>
  <c r="D69" i="13" s="1"/>
  <c r="H65" i="13"/>
  <c r="H66" i="13" s="1"/>
  <c r="G65" i="13"/>
  <c r="G66" i="13" s="1"/>
  <c r="F65" i="13"/>
  <c r="F66" i="13" s="1"/>
  <c r="E65" i="13"/>
  <c r="E66" i="13"/>
  <c r="D65" i="13"/>
  <c r="D66" i="13" s="1"/>
  <c r="H62" i="13"/>
  <c r="H63" i="13" s="1"/>
  <c r="G62" i="13"/>
  <c r="G63" i="13" s="1"/>
  <c r="F62" i="13"/>
  <c r="F63" i="13"/>
  <c r="E62" i="13"/>
  <c r="E63" i="13" s="1"/>
  <c r="D62" i="13"/>
  <c r="D63" i="13" s="1"/>
  <c r="L23" i="13"/>
  <c r="K23" i="13"/>
  <c r="J23" i="13"/>
  <c r="I23" i="13"/>
  <c r="H23" i="13"/>
  <c r="G23" i="13"/>
  <c r="F23" i="13"/>
  <c r="E23" i="13"/>
  <c r="D23" i="13"/>
  <c r="C23" i="13"/>
  <c r="D9" i="13"/>
  <c r="E9" i="13"/>
  <c r="F9" i="13"/>
  <c r="G9" i="13"/>
  <c r="H9" i="13"/>
  <c r="I9" i="13"/>
  <c r="J9" i="13"/>
  <c r="K9" i="13"/>
  <c r="L9" i="13"/>
  <c r="C9" i="13"/>
  <c r="L71" i="13"/>
  <c r="L72" i="13" s="1"/>
  <c r="K71" i="13"/>
  <c r="K72" i="13" s="1"/>
  <c r="J71" i="13"/>
  <c r="J72" i="13" s="1"/>
  <c r="I71" i="13"/>
  <c r="I72" i="13"/>
  <c r="L68" i="13"/>
  <c r="L69" i="13" s="1"/>
  <c r="K68" i="13"/>
  <c r="K69" i="13" s="1"/>
  <c r="J68" i="13"/>
  <c r="J69" i="13" s="1"/>
  <c r="I68" i="13"/>
  <c r="I69" i="13"/>
  <c r="L65" i="13"/>
  <c r="L66" i="13" s="1"/>
  <c r="K65" i="13"/>
  <c r="K66" i="13" s="1"/>
  <c r="J65" i="13"/>
  <c r="J66" i="13"/>
  <c r="I65" i="13"/>
  <c r="I66" i="13"/>
  <c r="L62" i="13"/>
  <c r="L63" i="13" s="1"/>
  <c r="K62" i="13"/>
  <c r="K63" i="13" s="1"/>
  <c r="J62" i="13"/>
  <c r="J63" i="13"/>
  <c r="I62" i="13"/>
  <c r="I63" i="13" s="1"/>
  <c r="L59" i="13"/>
  <c r="L60" i="13" s="1"/>
  <c r="K59" i="13"/>
  <c r="K60" i="13"/>
  <c r="J59" i="13"/>
  <c r="J60" i="13" s="1"/>
  <c r="I59" i="13"/>
  <c r="I60" i="13"/>
  <c r="L52" i="13"/>
  <c r="L53" i="13" s="1"/>
  <c r="K52" i="13"/>
  <c r="K53" i="13"/>
  <c r="J52" i="13"/>
  <c r="J53" i="13" s="1"/>
  <c r="I52" i="13"/>
  <c r="I53" i="13"/>
  <c r="L49" i="13"/>
  <c r="L50" i="13" s="1"/>
  <c r="K49" i="13"/>
  <c r="K50" i="13"/>
  <c r="J49" i="13"/>
  <c r="J50" i="13" s="1"/>
  <c r="I49" i="13"/>
  <c r="I50" i="13" s="1"/>
  <c r="L46" i="13"/>
  <c r="L47" i="13" s="1"/>
  <c r="K46" i="13"/>
  <c r="K47" i="13" s="1"/>
  <c r="J46" i="13"/>
  <c r="J47" i="13"/>
  <c r="I46" i="13"/>
  <c r="I47" i="13" s="1"/>
  <c r="I43" i="13"/>
  <c r="I44" i="13" s="1"/>
  <c r="J43" i="13"/>
  <c r="J44" i="13"/>
  <c r="K43" i="13"/>
  <c r="K44" i="13"/>
  <c r="L43" i="13"/>
  <c r="L44" i="13"/>
  <c r="I40" i="13"/>
  <c r="I41" i="13" s="1"/>
  <c r="J40" i="13"/>
  <c r="J41" i="13" s="1"/>
  <c r="K40" i="13"/>
  <c r="K41" i="13" s="1"/>
  <c r="L40" i="13"/>
  <c r="L41" i="13"/>
  <c r="AE74" i="27"/>
  <c r="AF74" i="27" s="1"/>
  <c r="AE73" i="27"/>
  <c r="AE85" i="27" s="1"/>
  <c r="AD61" i="26"/>
  <c r="AC48" i="32"/>
  <c r="AD58" i="26"/>
  <c r="AC45" i="32"/>
  <c r="AD55" i="26"/>
  <c r="AC42" i="32" s="1"/>
  <c r="AD60" i="32"/>
  <c r="AF73" i="27"/>
  <c r="Y62" i="32"/>
  <c r="Y56" i="32" s="1"/>
  <c r="AA62" i="32"/>
  <c r="AA56" i="32" s="1"/>
  <c r="W62" i="32"/>
  <c r="W61" i="32" s="1"/>
  <c r="AF60" i="32"/>
  <c r="Y58" i="32"/>
  <c r="W56" i="32"/>
  <c r="AA58" i="32"/>
  <c r="AG60" i="32"/>
  <c r="F83" i="10"/>
  <c r="F82" i="10"/>
  <c r="M69" i="22" s="1"/>
  <c r="H76" i="10"/>
  <c r="H75" i="10"/>
  <c r="H74" i="10"/>
  <c r="H72" i="10"/>
  <c r="H70" i="10"/>
  <c r="H69" i="10"/>
  <c r="H78" i="10" s="1"/>
  <c r="F71" i="10" s="1"/>
  <c r="G77" i="10"/>
  <c r="AD14" i="26"/>
  <c r="AD13" i="26"/>
  <c r="AD12" i="26"/>
  <c r="AD11" i="26"/>
  <c r="AD10" i="26"/>
  <c r="AD9" i="26"/>
  <c r="AD8" i="26"/>
  <c r="AD15" i="26" s="1"/>
  <c r="AD7" i="26"/>
  <c r="AC7" i="26"/>
  <c r="AC8" i="26"/>
  <c r="AC9" i="26"/>
  <c r="AC10" i="26"/>
  <c r="AC11" i="26"/>
  <c r="AC12" i="26"/>
  <c r="AC13" i="26"/>
  <c r="AC14" i="26"/>
  <c r="M55" i="22"/>
  <c r="I27" i="22"/>
  <c r="I26" i="22"/>
  <c r="I23" i="22"/>
  <c r="I22" i="22"/>
  <c r="I21" i="22"/>
  <c r="I13" i="22"/>
  <c r="I9" i="22"/>
  <c r="I8" i="22"/>
  <c r="I7" i="22"/>
  <c r="I5" i="22"/>
  <c r="I4" i="22"/>
  <c r="F27" i="36"/>
  <c r="F24" i="36"/>
  <c r="F154" i="21"/>
  <c r="F152" i="21"/>
  <c r="F197" i="21"/>
  <c r="F153" i="21"/>
  <c r="F198" i="21"/>
  <c r="F157" i="21"/>
  <c r="R157" i="21" s="1"/>
  <c r="F202" i="21"/>
  <c r="F200" i="21"/>
  <c r="R200" i="21" s="1"/>
  <c r="F201" i="21"/>
  <c r="F155" i="21"/>
  <c r="F199" i="21"/>
  <c r="D100" i="30"/>
  <c r="G100" i="30"/>
  <c r="E100" i="30"/>
  <c r="G99" i="30"/>
  <c r="G98" i="30"/>
  <c r="E99" i="30"/>
  <c r="E98" i="30"/>
  <c r="I15" i="30"/>
  <c r="M15" i="30" s="1"/>
  <c r="D19" i="43"/>
  <c r="E19" i="43"/>
  <c r="E27" i="43" s="1"/>
  <c r="F19" i="43"/>
  <c r="G19" i="43"/>
  <c r="H19" i="43"/>
  <c r="I19" i="43"/>
  <c r="J19" i="43"/>
  <c r="K19" i="43"/>
  <c r="L19" i="43"/>
  <c r="M19" i="43"/>
  <c r="M23" i="43"/>
  <c r="N19" i="43"/>
  <c r="N23" i="43" s="1"/>
  <c r="O19" i="43"/>
  <c r="O23" i="43" s="1"/>
  <c r="P19" i="43"/>
  <c r="Q19" i="43"/>
  <c r="Q23" i="43" s="1"/>
  <c r="R19" i="43"/>
  <c r="R23" i="43" s="1"/>
  <c r="S19" i="43"/>
  <c r="T19" i="43"/>
  <c r="U19" i="43"/>
  <c r="V19" i="43"/>
  <c r="W19" i="43"/>
  <c r="X19" i="43"/>
  <c r="X23" i="43" s="1"/>
  <c r="D20" i="43"/>
  <c r="E20" i="43"/>
  <c r="F20" i="43"/>
  <c r="G20" i="43"/>
  <c r="H20" i="43"/>
  <c r="I20" i="43"/>
  <c r="J20" i="43"/>
  <c r="K20" i="43"/>
  <c r="L20" i="43"/>
  <c r="M20" i="43"/>
  <c r="N20" i="43"/>
  <c r="O20" i="43"/>
  <c r="O28" i="43" s="1"/>
  <c r="P20" i="43"/>
  <c r="Q20" i="43"/>
  <c r="R20" i="43"/>
  <c r="S20" i="43"/>
  <c r="T20" i="43"/>
  <c r="U20" i="43"/>
  <c r="V20" i="43"/>
  <c r="W20" i="43"/>
  <c r="W28" i="43" s="1"/>
  <c r="X20" i="43"/>
  <c r="D21" i="43"/>
  <c r="E21" i="43"/>
  <c r="F21" i="43"/>
  <c r="G21" i="43"/>
  <c r="H21" i="43"/>
  <c r="I21" i="43"/>
  <c r="J21" i="43"/>
  <c r="K21" i="43"/>
  <c r="L21" i="43"/>
  <c r="M21" i="43"/>
  <c r="N21" i="43"/>
  <c r="O21" i="43"/>
  <c r="P21" i="43"/>
  <c r="Q21" i="43"/>
  <c r="R21" i="43"/>
  <c r="S21" i="43"/>
  <c r="T21" i="43"/>
  <c r="E115" i="25"/>
  <c r="U21" i="43"/>
  <c r="F115" i="25"/>
  <c r="V21" i="43"/>
  <c r="G115" i="25" s="1"/>
  <c r="W21" i="43"/>
  <c r="H115" i="25" s="1"/>
  <c r="X21" i="43"/>
  <c r="X29" i="43" s="1"/>
  <c r="X37" i="43" s="1"/>
  <c r="G29" i="30"/>
  <c r="H29" i="30" s="1"/>
  <c r="J29" i="30" s="1"/>
  <c r="I29" i="30"/>
  <c r="M29" i="30" s="1"/>
  <c r="K29" i="30"/>
  <c r="G30" i="30"/>
  <c r="H30" i="30" s="1"/>
  <c r="I30" i="30"/>
  <c r="M30" i="30"/>
  <c r="K30" i="30"/>
  <c r="AB5" i="21"/>
  <c r="I4" i="71" s="1"/>
  <c r="AC5" i="21"/>
  <c r="J4" i="71" s="1"/>
  <c r="AB177" i="21"/>
  <c r="AC177" i="21"/>
  <c r="X215" i="21"/>
  <c r="R215" i="21"/>
  <c r="X211" i="21"/>
  <c r="R211" i="21"/>
  <c r="X210" i="21"/>
  <c r="R210" i="21"/>
  <c r="X209" i="21"/>
  <c r="R209" i="21"/>
  <c r="X208" i="21"/>
  <c r="R208" i="21"/>
  <c r="X207" i="21"/>
  <c r="R207" i="21"/>
  <c r="X206" i="21"/>
  <c r="R206" i="21"/>
  <c r="X205" i="21"/>
  <c r="R205" i="21"/>
  <c r="X203" i="21"/>
  <c r="R203" i="21"/>
  <c r="X200" i="21"/>
  <c r="X199" i="21"/>
  <c r="R199" i="21"/>
  <c r="X198" i="21"/>
  <c r="R198" i="21"/>
  <c r="X197" i="21"/>
  <c r="R197" i="21"/>
  <c r="X195" i="21"/>
  <c r="R195" i="21"/>
  <c r="X194" i="21"/>
  <c r="R194" i="21"/>
  <c r="X193" i="21"/>
  <c r="R193" i="21"/>
  <c r="X191" i="21"/>
  <c r="R191" i="21"/>
  <c r="X190" i="21"/>
  <c r="R190" i="21"/>
  <c r="X189" i="21"/>
  <c r="R189" i="21"/>
  <c r="X187" i="21"/>
  <c r="R187" i="21"/>
  <c r="X186" i="21"/>
  <c r="R186" i="21"/>
  <c r="X185" i="21"/>
  <c r="R185" i="21"/>
  <c r="X182" i="21"/>
  <c r="R182" i="21"/>
  <c r="X181" i="21"/>
  <c r="X180" i="21"/>
  <c r="R180" i="21"/>
  <c r="X179" i="21"/>
  <c r="R179" i="21"/>
  <c r="X158" i="21"/>
  <c r="R158" i="21"/>
  <c r="X157" i="21"/>
  <c r="X153" i="21"/>
  <c r="R153" i="21"/>
  <c r="X152" i="21"/>
  <c r="R152" i="21"/>
  <c r="X150" i="21"/>
  <c r="R150" i="21"/>
  <c r="X149" i="21"/>
  <c r="R149" i="21"/>
  <c r="X148" i="21"/>
  <c r="R148" i="21"/>
  <c r="X146" i="21"/>
  <c r="R146" i="21"/>
  <c r="X145" i="21"/>
  <c r="R145" i="21"/>
  <c r="X144" i="21"/>
  <c r="R144" i="21"/>
  <c r="X142" i="21"/>
  <c r="R142" i="21"/>
  <c r="X141" i="21"/>
  <c r="R141" i="21"/>
  <c r="X140" i="21"/>
  <c r="R140" i="21"/>
  <c r="X137" i="21"/>
  <c r="R137" i="21"/>
  <c r="X136" i="21"/>
  <c r="X135" i="21"/>
  <c r="R135" i="21"/>
  <c r="X134" i="21"/>
  <c r="R134" i="21"/>
  <c r="X170" i="21"/>
  <c r="R170" i="21"/>
  <c r="X160" i="21"/>
  <c r="R160" i="21"/>
  <c r="X174" i="21"/>
  <c r="R174" i="21"/>
  <c r="X167" i="21"/>
  <c r="R167" i="21"/>
  <c r="X166" i="21"/>
  <c r="R166" i="21"/>
  <c r="X165" i="21"/>
  <c r="R165" i="21"/>
  <c r="X164" i="21"/>
  <c r="R164" i="21"/>
  <c r="X163" i="21"/>
  <c r="R163" i="21"/>
  <c r="X162" i="21"/>
  <c r="R162" i="21"/>
  <c r="X161" i="21"/>
  <c r="R161" i="21"/>
  <c r="R16" i="21"/>
  <c r="Q16" i="21" s="1"/>
  <c r="K63" i="25"/>
  <c r="K64" i="25"/>
  <c r="J63" i="25"/>
  <c r="J64" i="25"/>
  <c r="D57" i="25"/>
  <c r="E57" i="25"/>
  <c r="F57" i="25"/>
  <c r="G57" i="25"/>
  <c r="H57" i="25"/>
  <c r="I57" i="25"/>
  <c r="D62" i="25"/>
  <c r="E62" i="25"/>
  <c r="F62" i="25"/>
  <c r="G62" i="25"/>
  <c r="H62" i="25"/>
  <c r="I62" i="25"/>
  <c r="F63" i="25"/>
  <c r="G63" i="25"/>
  <c r="H63" i="25"/>
  <c r="I63" i="25"/>
  <c r="F64" i="25"/>
  <c r="G64" i="25"/>
  <c r="H64" i="25"/>
  <c r="I64" i="25"/>
  <c r="AB74" i="27"/>
  <c r="AB86" i="27" s="1"/>
  <c r="AA74" i="27"/>
  <c r="AA86" i="27" s="1"/>
  <c r="Z74" i="27"/>
  <c r="Z86" i="27" s="1"/>
  <c r="U74" i="27"/>
  <c r="U75" i="27" s="1"/>
  <c r="U87" i="27" s="1"/>
  <c r="U86" i="27"/>
  <c r="T74" i="27"/>
  <c r="T86" i="27" s="1"/>
  <c r="S74" i="27"/>
  <c r="S86" i="27" s="1"/>
  <c r="R74" i="27"/>
  <c r="R86" i="27" s="1"/>
  <c r="Q74" i="27"/>
  <c r="Q86" i="27" s="1"/>
  <c r="P74" i="27"/>
  <c r="P86" i="27" s="1"/>
  <c r="O74" i="27"/>
  <c r="O86" i="27" s="1"/>
  <c r="N74" i="27"/>
  <c r="N86" i="27" s="1"/>
  <c r="M74" i="27"/>
  <c r="M86" i="27"/>
  <c r="L74" i="27"/>
  <c r="L86" i="27" s="1"/>
  <c r="K74" i="27"/>
  <c r="K86" i="27" s="1"/>
  <c r="J74" i="27"/>
  <c r="J86" i="27" s="1"/>
  <c r="I74" i="27"/>
  <c r="I86" i="27"/>
  <c r="H74" i="27"/>
  <c r="H86" i="27" s="1"/>
  <c r="G74" i="27"/>
  <c r="F74" i="27"/>
  <c r="F86" i="27" s="1"/>
  <c r="E74" i="27"/>
  <c r="E86" i="27" s="1"/>
  <c r="D74" i="27"/>
  <c r="D86" i="27" s="1"/>
  <c r="AB73" i="27"/>
  <c r="AB85" i="27" s="1"/>
  <c r="AA73" i="27"/>
  <c r="AA85" i="27" s="1"/>
  <c r="Z73" i="27"/>
  <c r="Z85" i="27" s="1"/>
  <c r="U73" i="27"/>
  <c r="U85" i="27" s="1"/>
  <c r="T73" i="27"/>
  <c r="T85" i="27" s="1"/>
  <c r="S73" i="27"/>
  <c r="S85" i="27" s="1"/>
  <c r="R73" i="27"/>
  <c r="R85" i="27"/>
  <c r="Q73" i="27"/>
  <c r="Q85" i="27" s="1"/>
  <c r="P73" i="27"/>
  <c r="P85" i="27" s="1"/>
  <c r="O73" i="27"/>
  <c r="O85" i="27" s="1"/>
  <c r="N73" i="27"/>
  <c r="N85" i="27" s="1"/>
  <c r="M73" i="27"/>
  <c r="M85" i="27" s="1"/>
  <c r="L73" i="27"/>
  <c r="L85" i="27" s="1"/>
  <c r="K73" i="27"/>
  <c r="K85" i="27" s="1"/>
  <c r="J73" i="27"/>
  <c r="J85" i="27" s="1"/>
  <c r="I73" i="27"/>
  <c r="I85" i="27" s="1"/>
  <c r="H73" i="27"/>
  <c r="H85" i="27" s="1"/>
  <c r="G73" i="27"/>
  <c r="G85" i="27" s="1"/>
  <c r="F73" i="27"/>
  <c r="F85" i="27"/>
  <c r="E73" i="27"/>
  <c r="E85" i="27" s="1"/>
  <c r="D73" i="27"/>
  <c r="D85" i="27" s="1"/>
  <c r="AB72" i="27"/>
  <c r="AB84" i="27" s="1"/>
  <c r="AA72" i="27"/>
  <c r="AA84" i="27"/>
  <c r="Z72" i="27"/>
  <c r="Z84" i="27" s="1"/>
  <c r="Y72" i="27"/>
  <c r="Y84" i="27" s="1"/>
  <c r="X72" i="27"/>
  <c r="X84" i="27" s="1"/>
  <c r="U72" i="27"/>
  <c r="U84" i="27"/>
  <c r="T72" i="27"/>
  <c r="T84" i="27" s="1"/>
  <c r="S72" i="27"/>
  <c r="S84" i="27" s="1"/>
  <c r="R72" i="27"/>
  <c r="R84" i="27" s="1"/>
  <c r="Q72" i="27"/>
  <c r="Q84" i="27" s="1"/>
  <c r="P72" i="27"/>
  <c r="P84" i="27"/>
  <c r="O72" i="27"/>
  <c r="O84" i="27"/>
  <c r="N72" i="27"/>
  <c r="N84" i="27" s="1"/>
  <c r="M72" i="27"/>
  <c r="M84" i="27" s="1"/>
  <c r="L72" i="27"/>
  <c r="L84" i="27" s="1"/>
  <c r="K72" i="27"/>
  <c r="K84" i="27"/>
  <c r="J72" i="27"/>
  <c r="J84" i="27"/>
  <c r="I72" i="27"/>
  <c r="H72" i="27"/>
  <c r="H84" i="27"/>
  <c r="G72" i="27"/>
  <c r="G84" i="27" s="1"/>
  <c r="F72" i="27"/>
  <c r="F84" i="27"/>
  <c r="E72" i="27"/>
  <c r="E84" i="27" s="1"/>
  <c r="D72" i="27"/>
  <c r="D84" i="27" s="1"/>
  <c r="U71" i="27"/>
  <c r="U83" i="27"/>
  <c r="T71" i="27"/>
  <c r="T83" i="27" s="1"/>
  <c r="S71" i="27"/>
  <c r="S83" i="27" s="1"/>
  <c r="R71" i="27"/>
  <c r="R83" i="27"/>
  <c r="Q71" i="27"/>
  <c r="P71" i="27"/>
  <c r="P83" i="27" s="1"/>
  <c r="O71" i="27"/>
  <c r="O83" i="27" s="1"/>
  <c r="N71" i="27"/>
  <c r="N83" i="27" s="1"/>
  <c r="M71" i="27"/>
  <c r="M83" i="27" s="1"/>
  <c r="L71" i="27"/>
  <c r="L83" i="27" s="1"/>
  <c r="K71" i="27"/>
  <c r="K83" i="27"/>
  <c r="J71" i="27"/>
  <c r="J83" i="27"/>
  <c r="I71" i="27"/>
  <c r="I83" i="27" s="1"/>
  <c r="H71" i="27"/>
  <c r="H83" i="27" s="1"/>
  <c r="G71" i="27"/>
  <c r="G83" i="27"/>
  <c r="F71" i="27"/>
  <c r="F83" i="27"/>
  <c r="E71" i="27"/>
  <c r="E83" i="27" s="1"/>
  <c r="D71" i="27"/>
  <c r="D83" i="27" s="1"/>
  <c r="U70" i="27"/>
  <c r="U82" i="27" s="1"/>
  <c r="T70" i="27"/>
  <c r="T82" i="27"/>
  <c r="S70" i="27"/>
  <c r="S82" i="27" s="1"/>
  <c r="R70" i="27"/>
  <c r="R82" i="27" s="1"/>
  <c r="Q70" i="27"/>
  <c r="P70" i="27"/>
  <c r="P82" i="27" s="1"/>
  <c r="O70" i="27"/>
  <c r="O82" i="27" s="1"/>
  <c r="N70" i="27"/>
  <c r="N82" i="27" s="1"/>
  <c r="M70" i="27"/>
  <c r="M82" i="27"/>
  <c r="L70" i="27"/>
  <c r="L82" i="27" s="1"/>
  <c r="K70" i="27"/>
  <c r="J70" i="27"/>
  <c r="J82" i="27" s="1"/>
  <c r="I70" i="27"/>
  <c r="I82" i="27"/>
  <c r="H70" i="27"/>
  <c r="H82" i="27" s="1"/>
  <c r="G70" i="27"/>
  <c r="G82" i="27"/>
  <c r="F70" i="27"/>
  <c r="F82" i="27"/>
  <c r="E70" i="27"/>
  <c r="E82" i="27" s="1"/>
  <c r="D70" i="27"/>
  <c r="D82" i="27" s="1"/>
  <c r="U69" i="27"/>
  <c r="U81" i="27"/>
  <c r="T69" i="27"/>
  <c r="T81" i="27" s="1"/>
  <c r="S69" i="27"/>
  <c r="S81" i="27" s="1"/>
  <c r="R69" i="27"/>
  <c r="R81" i="27" s="1"/>
  <c r="Q69" i="27"/>
  <c r="P69" i="27"/>
  <c r="P81" i="27"/>
  <c r="O69" i="27"/>
  <c r="O81" i="27" s="1"/>
  <c r="N69" i="27"/>
  <c r="N81" i="27" s="1"/>
  <c r="M69" i="27"/>
  <c r="M81" i="27" s="1"/>
  <c r="L69" i="27"/>
  <c r="L81" i="27"/>
  <c r="K69" i="27"/>
  <c r="K81" i="27"/>
  <c r="J69" i="27"/>
  <c r="I69" i="27"/>
  <c r="I81" i="27" s="1"/>
  <c r="H69" i="27"/>
  <c r="H81" i="27" s="1"/>
  <c r="G69" i="27"/>
  <c r="G81" i="27"/>
  <c r="F69" i="27"/>
  <c r="F81" i="27" s="1"/>
  <c r="E69" i="27"/>
  <c r="E81" i="27" s="1"/>
  <c r="D69" i="27"/>
  <c r="D81" i="27" s="1"/>
  <c r="U68" i="27"/>
  <c r="T68" i="27"/>
  <c r="T80" i="27" s="1"/>
  <c r="S68" i="27"/>
  <c r="S80" i="27"/>
  <c r="R68" i="27"/>
  <c r="R80" i="27"/>
  <c r="Q68" i="27"/>
  <c r="P68" i="27"/>
  <c r="P80" i="27" s="1"/>
  <c r="O68" i="27"/>
  <c r="N68" i="27"/>
  <c r="N80" i="27" s="1"/>
  <c r="M68" i="27"/>
  <c r="M80" i="27"/>
  <c r="L68" i="27"/>
  <c r="L80" i="27" s="1"/>
  <c r="K68" i="27"/>
  <c r="K80" i="27"/>
  <c r="J68" i="27"/>
  <c r="J80" i="27" s="1"/>
  <c r="I68" i="27"/>
  <c r="H68" i="27"/>
  <c r="H80" i="27"/>
  <c r="G68" i="27"/>
  <c r="G80" i="27" s="1"/>
  <c r="F68" i="27"/>
  <c r="F80" i="27" s="1"/>
  <c r="E68" i="27"/>
  <c r="E80" i="27" s="1"/>
  <c r="D68" i="27"/>
  <c r="D80" i="27"/>
  <c r="AB67" i="27"/>
  <c r="AB79" i="27" s="1"/>
  <c r="AA67" i="27"/>
  <c r="AA79" i="27" s="1"/>
  <c r="Z67" i="27"/>
  <c r="Z79" i="27" s="1"/>
  <c r="Y67" i="27"/>
  <c r="Y79" i="27" s="1"/>
  <c r="X67" i="27"/>
  <c r="U67" i="27"/>
  <c r="U79" i="27"/>
  <c r="T67" i="27"/>
  <c r="T75" i="27" s="1"/>
  <c r="T87" i="27" s="1"/>
  <c r="S67" i="27"/>
  <c r="R67" i="27"/>
  <c r="Q67" i="27"/>
  <c r="Q79" i="27" s="1"/>
  <c r="P67" i="27"/>
  <c r="P79" i="27" s="1"/>
  <c r="O67" i="27"/>
  <c r="N67" i="27"/>
  <c r="N79" i="27"/>
  <c r="M67" i="27"/>
  <c r="L67" i="27"/>
  <c r="K67" i="27"/>
  <c r="K79" i="27" s="1"/>
  <c r="J67" i="27"/>
  <c r="J79" i="27" s="1"/>
  <c r="I67" i="27"/>
  <c r="I79" i="27"/>
  <c r="H67" i="27"/>
  <c r="H79" i="27" s="1"/>
  <c r="G67" i="27"/>
  <c r="G79" i="27" s="1"/>
  <c r="F67" i="27"/>
  <c r="F79" i="27" s="1"/>
  <c r="E67" i="27"/>
  <c r="E75" i="27" s="1"/>
  <c r="E87" i="27" s="1"/>
  <c r="E79" i="27"/>
  <c r="D67" i="27"/>
  <c r="D79" i="27" s="1"/>
  <c r="D75" i="27"/>
  <c r="D87" i="27" s="1"/>
  <c r="U63" i="27"/>
  <c r="T63" i="27"/>
  <c r="S63" i="27"/>
  <c r="R63" i="27"/>
  <c r="Q63" i="27"/>
  <c r="P63" i="27"/>
  <c r="O63" i="27"/>
  <c r="N63" i="27"/>
  <c r="M63" i="27"/>
  <c r="L63" i="27"/>
  <c r="K63" i="27"/>
  <c r="J63" i="27"/>
  <c r="I63" i="27"/>
  <c r="H63" i="27"/>
  <c r="G63" i="27"/>
  <c r="F63" i="27"/>
  <c r="E63" i="27"/>
  <c r="D63" i="27"/>
  <c r="C63" i="27"/>
  <c r="AF61" i="26"/>
  <c r="AE16" i="21"/>
  <c r="C117" i="25"/>
  <c r="R31" i="43"/>
  <c r="R39" i="43"/>
  <c r="AC84" i="27"/>
  <c r="N29" i="43"/>
  <c r="N37" i="43" s="1"/>
  <c r="S28" i="43"/>
  <c r="S36" i="43" s="1"/>
  <c r="K28" i="43"/>
  <c r="K36" i="43" s="1"/>
  <c r="I117" i="25"/>
  <c r="H27" i="43"/>
  <c r="I29" i="43"/>
  <c r="I37" i="43" s="1"/>
  <c r="F28" i="43"/>
  <c r="F36" i="43" s="1"/>
  <c r="D112" i="25"/>
  <c r="P27" i="43"/>
  <c r="P35" i="43" s="1"/>
  <c r="P23" i="43"/>
  <c r="P31" i="43"/>
  <c r="P39" i="43" s="1"/>
  <c r="H112" i="25"/>
  <c r="H118" i="25" s="1"/>
  <c r="W23" i="43"/>
  <c r="G112" i="25"/>
  <c r="G118" i="25" s="1"/>
  <c r="V23" i="43"/>
  <c r="M29" i="43"/>
  <c r="M37" i="43" s="1"/>
  <c r="Z19" i="43"/>
  <c r="Y19" i="43"/>
  <c r="H29" i="43"/>
  <c r="H37" i="43" s="1"/>
  <c r="U28" i="43"/>
  <c r="U36" i="43"/>
  <c r="M28" i="43"/>
  <c r="M36" i="43"/>
  <c r="E28" i="43"/>
  <c r="E36" i="43" s="1"/>
  <c r="J27" i="43"/>
  <c r="J35" i="43" s="1"/>
  <c r="E29" i="43"/>
  <c r="R28" i="43"/>
  <c r="R36" i="43" s="1"/>
  <c r="J28" i="43"/>
  <c r="J36" i="43" s="1"/>
  <c r="X27" i="43"/>
  <c r="X35" i="43"/>
  <c r="I112" i="25"/>
  <c r="V27" i="43"/>
  <c r="V35" i="43" s="1"/>
  <c r="O36" i="43"/>
  <c r="G28" i="43"/>
  <c r="Q29" i="43"/>
  <c r="Q37" i="43" s="1"/>
  <c r="V28" i="43"/>
  <c r="V36" i="43"/>
  <c r="N28" i="43"/>
  <c r="N36" i="43" s="1"/>
  <c r="W29" i="43"/>
  <c r="W37" i="43" s="1"/>
  <c r="I115" i="25"/>
  <c r="R27" i="43"/>
  <c r="R35" i="43" s="1"/>
  <c r="C112" i="25"/>
  <c r="V29" i="43"/>
  <c r="V37" i="43" s="1"/>
  <c r="O29" i="43"/>
  <c r="O37" i="43" s="1"/>
  <c r="G29" i="43"/>
  <c r="G37" i="43"/>
  <c r="T28" i="43"/>
  <c r="T36" i="43" s="1"/>
  <c r="L28" i="43"/>
  <c r="L36" i="43" s="1"/>
  <c r="U29" i="43"/>
  <c r="U37" i="43"/>
  <c r="AF48" i="32"/>
  <c r="J30" i="30"/>
  <c r="W36" i="43"/>
  <c r="T29" i="43"/>
  <c r="T37" i="43" s="1"/>
  <c r="W27" i="43"/>
  <c r="W35" i="43" s="1"/>
  <c r="O27" i="43"/>
  <c r="O35" i="43"/>
  <c r="X28" i="43"/>
  <c r="X36" i="43" s="1"/>
  <c r="F29" i="43"/>
  <c r="F37" i="43"/>
  <c r="L27" i="43"/>
  <c r="L35" i="43" s="1"/>
  <c r="S27" i="43"/>
  <c r="S35" i="43" s="1"/>
  <c r="K27" i="43"/>
  <c r="K35" i="43" s="1"/>
  <c r="Q27" i="43"/>
  <c r="Q35" i="43" s="1"/>
  <c r="I27" i="43"/>
  <c r="I35" i="43"/>
  <c r="P29" i="43"/>
  <c r="P37" i="43"/>
  <c r="M75" i="27"/>
  <c r="M87" i="27" s="1"/>
  <c r="H75" i="27"/>
  <c r="H87" i="27" s="1"/>
  <c r="M79" i="27"/>
  <c r="Q80" i="27"/>
  <c r="Q83" i="27"/>
  <c r="O79" i="27"/>
  <c r="Q81" i="27"/>
  <c r="U80" i="27"/>
  <c r="X79" i="27"/>
  <c r="I80" i="27"/>
  <c r="I118" i="25"/>
  <c r="Q31" i="43"/>
  <c r="Q39" i="43" s="1"/>
  <c r="G117" i="25"/>
  <c r="H117" i="25"/>
  <c r="E37" i="43"/>
  <c r="E35" i="43"/>
  <c r="AE61" i="26"/>
  <c r="AD48" i="32" s="1"/>
  <c r="AC73" i="26"/>
  <c r="AC85" i="26" s="1"/>
  <c r="AC35" i="43"/>
  <c r="AD35" i="43" s="1"/>
  <c r="AE35" i="43" s="1"/>
  <c r="AF35" i="43" s="1"/>
  <c r="AG35" i="43" s="1"/>
  <c r="AH35" i="43" s="1"/>
  <c r="AI35" i="43"/>
  <c r="AJ35" i="43" s="1"/>
  <c r="AK35" i="43" s="1"/>
  <c r="AA19" i="43"/>
  <c r="S22" i="37"/>
  <c r="K47" i="41"/>
  <c r="K71" i="41" s="1"/>
  <c r="J47" i="41"/>
  <c r="J71" i="41"/>
  <c r="I47" i="41"/>
  <c r="I71" i="41"/>
  <c r="H47" i="41"/>
  <c r="H71" i="41" s="1"/>
  <c r="G47" i="41"/>
  <c r="G71" i="41" s="1"/>
  <c r="F47" i="41"/>
  <c r="E47" i="41"/>
  <c r="E71" i="41" s="1"/>
  <c r="D47" i="41"/>
  <c r="D71" i="41" s="1"/>
  <c r="K46" i="41"/>
  <c r="K70" i="41"/>
  <c r="J46" i="41"/>
  <c r="J70" i="41"/>
  <c r="I46" i="41"/>
  <c r="I70" i="41" s="1"/>
  <c r="H46" i="41"/>
  <c r="H70" i="41" s="1"/>
  <c r="G46" i="41"/>
  <c r="G70" i="41" s="1"/>
  <c r="F46" i="41"/>
  <c r="E46" i="41"/>
  <c r="E70" i="41"/>
  <c r="D46" i="41"/>
  <c r="D70" i="41" s="1"/>
  <c r="K45" i="41"/>
  <c r="K69" i="41" s="1"/>
  <c r="J45" i="41"/>
  <c r="J69" i="41" s="1"/>
  <c r="I45" i="41"/>
  <c r="I69" i="41"/>
  <c r="H45" i="41"/>
  <c r="H69" i="41"/>
  <c r="G45" i="41"/>
  <c r="G69" i="41" s="1"/>
  <c r="F45" i="41"/>
  <c r="F69" i="41" s="1"/>
  <c r="E45" i="41"/>
  <c r="E69" i="41" s="1"/>
  <c r="D45" i="41"/>
  <c r="D69" i="41"/>
  <c r="K44" i="41"/>
  <c r="K68" i="41" s="1"/>
  <c r="J44" i="41"/>
  <c r="I44" i="41"/>
  <c r="I68" i="41" s="1"/>
  <c r="H44" i="41"/>
  <c r="H68" i="41" s="1"/>
  <c r="G44" i="41"/>
  <c r="G68" i="41" s="1"/>
  <c r="F44" i="41"/>
  <c r="E44" i="41"/>
  <c r="E68" i="41"/>
  <c r="D44" i="41"/>
  <c r="D68" i="41" s="1"/>
  <c r="K43" i="41"/>
  <c r="K67" i="41" s="1"/>
  <c r="J43" i="41"/>
  <c r="J67" i="41" s="1"/>
  <c r="I43" i="41"/>
  <c r="I67" i="41"/>
  <c r="H43" i="41"/>
  <c r="H67" i="41" s="1"/>
  <c r="G43" i="41"/>
  <c r="G67" i="41" s="1"/>
  <c r="F43" i="41"/>
  <c r="E43" i="41"/>
  <c r="E67" i="41" s="1"/>
  <c r="D43" i="41"/>
  <c r="D67" i="41" s="1"/>
  <c r="K42" i="41"/>
  <c r="K66" i="41"/>
  <c r="J42" i="41"/>
  <c r="J66" i="41" s="1"/>
  <c r="I42" i="41"/>
  <c r="I66" i="41" s="1"/>
  <c r="H42" i="41"/>
  <c r="H66" i="41" s="1"/>
  <c r="G42" i="41"/>
  <c r="G66" i="41" s="1"/>
  <c r="F42" i="41"/>
  <c r="E42" i="41"/>
  <c r="E66" i="41"/>
  <c r="D42" i="41"/>
  <c r="D66" i="41" s="1"/>
  <c r="K41" i="41"/>
  <c r="K65" i="41" s="1"/>
  <c r="J41" i="41"/>
  <c r="J65" i="41" s="1"/>
  <c r="I41" i="41"/>
  <c r="I65" i="41" s="1"/>
  <c r="H41" i="41"/>
  <c r="H65" i="41"/>
  <c r="G41" i="41"/>
  <c r="G65" i="41" s="1"/>
  <c r="F41" i="41"/>
  <c r="E41" i="41"/>
  <c r="E65" i="41" s="1"/>
  <c r="D41" i="41"/>
  <c r="D65" i="41" s="1"/>
  <c r="K40" i="41"/>
  <c r="K64" i="41" s="1"/>
  <c r="J40" i="41"/>
  <c r="J64" i="41"/>
  <c r="I40" i="41"/>
  <c r="H40" i="41"/>
  <c r="H64" i="41" s="1"/>
  <c r="G40" i="41"/>
  <c r="G64" i="41"/>
  <c r="F40" i="41"/>
  <c r="E40" i="41"/>
  <c r="E64" i="41" s="1"/>
  <c r="D40" i="41"/>
  <c r="D64" i="41"/>
  <c r="K39" i="41"/>
  <c r="K63" i="41" s="1"/>
  <c r="J39" i="41"/>
  <c r="J63" i="41" s="1"/>
  <c r="I39" i="41"/>
  <c r="I63" i="41" s="1"/>
  <c r="H39" i="41"/>
  <c r="H63" i="41" s="1"/>
  <c r="G39" i="41"/>
  <c r="G63" i="41"/>
  <c r="F39" i="41"/>
  <c r="E39" i="41"/>
  <c r="D39" i="41"/>
  <c r="D63" i="41" s="1"/>
  <c r="K38" i="41"/>
  <c r="K62" i="41" s="1"/>
  <c r="J38" i="41"/>
  <c r="J62" i="41"/>
  <c r="I38" i="41"/>
  <c r="I62" i="41"/>
  <c r="H38" i="41"/>
  <c r="G38" i="41"/>
  <c r="G62" i="41"/>
  <c r="F38" i="41"/>
  <c r="E38" i="41"/>
  <c r="E62" i="41"/>
  <c r="D38" i="41"/>
  <c r="D62" i="41"/>
  <c r="K37" i="41"/>
  <c r="K61" i="41" s="1"/>
  <c r="J37" i="41"/>
  <c r="J61" i="41" s="1"/>
  <c r="I37" i="41"/>
  <c r="I61" i="41" s="1"/>
  <c r="H37" i="41"/>
  <c r="H61" i="41"/>
  <c r="G37" i="41"/>
  <c r="G61" i="41" s="1"/>
  <c r="F37" i="41"/>
  <c r="E37" i="41"/>
  <c r="E61" i="41" s="1"/>
  <c r="D37" i="41"/>
  <c r="K36" i="41"/>
  <c r="K60" i="41" s="1"/>
  <c r="J36" i="41"/>
  <c r="J60" i="41" s="1"/>
  <c r="I36" i="41"/>
  <c r="I60" i="41"/>
  <c r="H36" i="41"/>
  <c r="H60" i="41" s="1"/>
  <c r="G36" i="41"/>
  <c r="G60" i="41" s="1"/>
  <c r="F36" i="41"/>
  <c r="E36" i="41"/>
  <c r="E60" i="41" s="1"/>
  <c r="D36" i="41"/>
  <c r="D60" i="41"/>
  <c r="K35" i="41"/>
  <c r="K59" i="41"/>
  <c r="J35" i="41"/>
  <c r="J59" i="41" s="1"/>
  <c r="I35" i="41"/>
  <c r="I59" i="41" s="1"/>
  <c r="H35" i="41"/>
  <c r="H59" i="41" s="1"/>
  <c r="G35" i="41"/>
  <c r="G59" i="41"/>
  <c r="F35" i="41"/>
  <c r="E35" i="41"/>
  <c r="E59" i="41" s="1"/>
  <c r="D35" i="41"/>
  <c r="D59" i="41"/>
  <c r="K34" i="41"/>
  <c r="K58" i="41" s="1"/>
  <c r="J34" i="41"/>
  <c r="J58" i="41" s="1"/>
  <c r="I34" i="41"/>
  <c r="I58" i="41"/>
  <c r="H34" i="41"/>
  <c r="H58" i="41" s="1"/>
  <c r="G34" i="41"/>
  <c r="G58" i="41" s="1"/>
  <c r="F34" i="41"/>
  <c r="E34" i="41"/>
  <c r="E58" i="41" s="1"/>
  <c r="D34" i="41"/>
  <c r="D58" i="41" s="1"/>
  <c r="K33" i="41"/>
  <c r="K57" i="41"/>
  <c r="J33" i="41"/>
  <c r="J57" i="41" s="1"/>
  <c r="I33" i="41"/>
  <c r="I57" i="41" s="1"/>
  <c r="H33" i="41"/>
  <c r="H57" i="41" s="1"/>
  <c r="G33" i="41"/>
  <c r="G57" i="41"/>
  <c r="F33" i="41"/>
  <c r="E33" i="41"/>
  <c r="E57" i="41" s="1"/>
  <c r="D33" i="41"/>
  <c r="D57" i="41" s="1"/>
  <c r="K32" i="41"/>
  <c r="K56" i="41"/>
  <c r="J32" i="41"/>
  <c r="J56" i="41" s="1"/>
  <c r="I32" i="41"/>
  <c r="I56" i="41" s="1"/>
  <c r="H32" i="41"/>
  <c r="H56" i="41"/>
  <c r="G32" i="41"/>
  <c r="G56" i="41" s="1"/>
  <c r="F32" i="41"/>
  <c r="E32" i="41"/>
  <c r="E56" i="41" s="1"/>
  <c r="D32" i="41"/>
  <c r="D56" i="41" s="1"/>
  <c r="K31" i="41"/>
  <c r="K55" i="41" s="1"/>
  <c r="J31" i="41"/>
  <c r="J55" i="41"/>
  <c r="I31" i="41"/>
  <c r="I55" i="41" s="1"/>
  <c r="H31" i="41"/>
  <c r="H55" i="41" s="1"/>
  <c r="G31" i="41"/>
  <c r="G55" i="41" s="1"/>
  <c r="F31" i="41"/>
  <c r="E31" i="41"/>
  <c r="E55" i="41" s="1"/>
  <c r="D31" i="41"/>
  <c r="D55" i="41" s="1"/>
  <c r="K30" i="41"/>
  <c r="J30" i="41"/>
  <c r="I30" i="41"/>
  <c r="H30" i="41"/>
  <c r="G30" i="41"/>
  <c r="F30" i="41"/>
  <c r="E30" i="41"/>
  <c r="D30" i="41"/>
  <c r="D54" i="41" s="1"/>
  <c r="K25" i="41"/>
  <c r="J25" i="41"/>
  <c r="I25" i="41"/>
  <c r="H25" i="41"/>
  <c r="G25" i="41"/>
  <c r="F25" i="41"/>
  <c r="E25" i="41"/>
  <c r="D25" i="41"/>
  <c r="M24" i="41"/>
  <c r="L24" i="41"/>
  <c r="M23" i="41"/>
  <c r="M22" i="41"/>
  <c r="L22" i="41"/>
  <c r="M21" i="41"/>
  <c r="L21" i="41"/>
  <c r="M20" i="41"/>
  <c r="L20" i="41"/>
  <c r="M19" i="41"/>
  <c r="L19" i="41"/>
  <c r="M18" i="41"/>
  <c r="L18" i="41"/>
  <c r="M17" i="41"/>
  <c r="L17" i="41"/>
  <c r="M16" i="41"/>
  <c r="L16" i="41"/>
  <c r="M15" i="41"/>
  <c r="L15" i="41"/>
  <c r="M14" i="41"/>
  <c r="L14" i="41"/>
  <c r="M13" i="41"/>
  <c r="L13" i="41"/>
  <c r="M12" i="41"/>
  <c r="L12" i="41"/>
  <c r="M11" i="41"/>
  <c r="L11" i="41"/>
  <c r="M10" i="41"/>
  <c r="L10" i="41"/>
  <c r="M9" i="41"/>
  <c r="L9" i="41"/>
  <c r="N8" i="41"/>
  <c r="N31" i="41" s="1"/>
  <c r="N55" i="41" s="1"/>
  <c r="M8" i="41"/>
  <c r="L8" i="41"/>
  <c r="M7" i="41"/>
  <c r="L7" i="41"/>
  <c r="K47" i="40"/>
  <c r="K71" i="40" s="1"/>
  <c r="J47" i="40"/>
  <c r="I47" i="40"/>
  <c r="I71" i="40" s="1"/>
  <c r="H47" i="40"/>
  <c r="H71" i="40" s="1"/>
  <c r="G47" i="40"/>
  <c r="G71" i="40" s="1"/>
  <c r="F47" i="40"/>
  <c r="E47" i="40"/>
  <c r="E71" i="40" s="1"/>
  <c r="D47" i="40"/>
  <c r="D71" i="40" s="1"/>
  <c r="K46" i="40"/>
  <c r="K70" i="40"/>
  <c r="J46" i="40"/>
  <c r="J70" i="40"/>
  <c r="I46" i="40"/>
  <c r="I70" i="40" s="1"/>
  <c r="H46" i="40"/>
  <c r="H70" i="40" s="1"/>
  <c r="G46" i="40"/>
  <c r="G70" i="40" s="1"/>
  <c r="L70" i="40" s="1"/>
  <c r="F46" i="40"/>
  <c r="E46" i="40"/>
  <c r="E70" i="40" s="1"/>
  <c r="D46" i="40"/>
  <c r="D70" i="40"/>
  <c r="K45" i="40"/>
  <c r="K69" i="40" s="1"/>
  <c r="J45" i="40"/>
  <c r="J69" i="40" s="1"/>
  <c r="I45" i="40"/>
  <c r="I69" i="40" s="1"/>
  <c r="H45" i="40"/>
  <c r="H69" i="40" s="1"/>
  <c r="G45" i="40"/>
  <c r="G69" i="40" s="1"/>
  <c r="F45" i="40"/>
  <c r="E45" i="40"/>
  <c r="E69" i="40"/>
  <c r="D45" i="40"/>
  <c r="D69" i="40" s="1"/>
  <c r="K44" i="40"/>
  <c r="K68" i="40" s="1"/>
  <c r="J44" i="40"/>
  <c r="J68" i="40" s="1"/>
  <c r="I44" i="40"/>
  <c r="I68" i="40" s="1"/>
  <c r="H44" i="40"/>
  <c r="H68" i="40" s="1"/>
  <c r="G44" i="40"/>
  <c r="F44" i="40"/>
  <c r="E44" i="40"/>
  <c r="E68" i="40" s="1"/>
  <c r="D44" i="40"/>
  <c r="D68" i="40" s="1"/>
  <c r="K43" i="40"/>
  <c r="K67" i="40" s="1"/>
  <c r="J43" i="40"/>
  <c r="J67" i="40" s="1"/>
  <c r="I43" i="40"/>
  <c r="I67" i="40" s="1"/>
  <c r="H43" i="40"/>
  <c r="H67" i="40" s="1"/>
  <c r="G43" i="40"/>
  <c r="G67" i="40" s="1"/>
  <c r="F43" i="40"/>
  <c r="E43" i="40"/>
  <c r="E67" i="40"/>
  <c r="D43" i="40"/>
  <c r="D67" i="40"/>
  <c r="K42" i="40"/>
  <c r="K66" i="40" s="1"/>
  <c r="J42" i="40"/>
  <c r="J66" i="40" s="1"/>
  <c r="I42" i="40"/>
  <c r="I66" i="40"/>
  <c r="H42" i="40"/>
  <c r="H66" i="40"/>
  <c r="G42" i="40"/>
  <c r="G66" i="40" s="1"/>
  <c r="F42" i="40"/>
  <c r="E42" i="40"/>
  <c r="E66" i="40" s="1"/>
  <c r="D42" i="40"/>
  <c r="D66" i="40" s="1"/>
  <c r="K41" i="40"/>
  <c r="K65" i="40"/>
  <c r="J41" i="40"/>
  <c r="J65" i="40"/>
  <c r="I41" i="40"/>
  <c r="I65" i="40" s="1"/>
  <c r="H41" i="40"/>
  <c r="H65" i="40" s="1"/>
  <c r="G41" i="40"/>
  <c r="G65" i="40"/>
  <c r="F41" i="40"/>
  <c r="F65" i="40"/>
  <c r="E41" i="40"/>
  <c r="E65" i="40" s="1"/>
  <c r="D41" i="40"/>
  <c r="D65" i="40" s="1"/>
  <c r="K40" i="40"/>
  <c r="K64" i="40"/>
  <c r="J40" i="40"/>
  <c r="J64" i="40"/>
  <c r="I40" i="40"/>
  <c r="I64" i="40" s="1"/>
  <c r="H40" i="40"/>
  <c r="H64" i="40" s="1"/>
  <c r="G40" i="40"/>
  <c r="G64" i="40"/>
  <c r="F40" i="40"/>
  <c r="F64" i="40"/>
  <c r="E40" i="40"/>
  <c r="E64" i="40" s="1"/>
  <c r="D40" i="40"/>
  <c r="D64" i="40" s="1"/>
  <c r="K39" i="40"/>
  <c r="K63" i="40"/>
  <c r="J39" i="40"/>
  <c r="J63" i="40"/>
  <c r="I39" i="40"/>
  <c r="I63" i="40" s="1"/>
  <c r="H39" i="40"/>
  <c r="H63" i="40" s="1"/>
  <c r="G39" i="40"/>
  <c r="G63" i="40"/>
  <c r="F39" i="40"/>
  <c r="F63" i="40" s="1"/>
  <c r="E39" i="40"/>
  <c r="E63" i="40" s="1"/>
  <c r="D39" i="40"/>
  <c r="D63" i="40" s="1"/>
  <c r="K38" i="40"/>
  <c r="K62" i="40"/>
  <c r="J38" i="40"/>
  <c r="J62" i="40"/>
  <c r="I38" i="40"/>
  <c r="I62" i="40" s="1"/>
  <c r="H38" i="40"/>
  <c r="H62" i="40" s="1"/>
  <c r="G38" i="40"/>
  <c r="G62" i="40"/>
  <c r="F38" i="40"/>
  <c r="F62" i="40"/>
  <c r="E38" i="40"/>
  <c r="E62" i="40" s="1"/>
  <c r="D38" i="40"/>
  <c r="D62" i="40" s="1"/>
  <c r="K37" i="40"/>
  <c r="K61" i="40" s="1"/>
  <c r="J37" i="40"/>
  <c r="J61" i="40" s="1"/>
  <c r="I37" i="40"/>
  <c r="H37" i="40"/>
  <c r="H61" i="40" s="1"/>
  <c r="G37" i="40"/>
  <c r="G61" i="40"/>
  <c r="F37" i="40"/>
  <c r="E37" i="40"/>
  <c r="E61" i="40" s="1"/>
  <c r="D37" i="40"/>
  <c r="D61" i="40"/>
  <c r="K36" i="40"/>
  <c r="K60" i="40" s="1"/>
  <c r="J36" i="40"/>
  <c r="J60" i="40" s="1"/>
  <c r="I36" i="40"/>
  <c r="I60" i="40" s="1"/>
  <c r="H36" i="40"/>
  <c r="H60" i="40"/>
  <c r="G36" i="40"/>
  <c r="G60" i="40"/>
  <c r="F36" i="40"/>
  <c r="E36" i="40"/>
  <c r="E60" i="40" s="1"/>
  <c r="D36" i="40"/>
  <c r="D60" i="40"/>
  <c r="K35" i="40"/>
  <c r="K59" i="40" s="1"/>
  <c r="J35" i="40"/>
  <c r="J59" i="40" s="1"/>
  <c r="I35" i="40"/>
  <c r="I59" i="40" s="1"/>
  <c r="H35" i="40"/>
  <c r="H59" i="40"/>
  <c r="G35" i="40"/>
  <c r="G59" i="40"/>
  <c r="F35" i="40"/>
  <c r="F59" i="40" s="1"/>
  <c r="E35" i="40"/>
  <c r="E59" i="40" s="1"/>
  <c r="D35" i="40"/>
  <c r="D59" i="40"/>
  <c r="K34" i="40"/>
  <c r="K49" i="40" s="1"/>
  <c r="K73" i="40" s="1"/>
  <c r="K58" i="40"/>
  <c r="J34" i="40"/>
  <c r="J58" i="40" s="1"/>
  <c r="I34" i="40"/>
  <c r="I58" i="40" s="1"/>
  <c r="H34" i="40"/>
  <c r="H58" i="40" s="1"/>
  <c r="G34" i="40"/>
  <c r="G58" i="40"/>
  <c r="F34" i="40"/>
  <c r="F58" i="40" s="1"/>
  <c r="E34" i="40"/>
  <c r="D34" i="40"/>
  <c r="D58" i="40"/>
  <c r="K33" i="40"/>
  <c r="K57" i="40"/>
  <c r="J33" i="40"/>
  <c r="J57" i="40" s="1"/>
  <c r="I33" i="40"/>
  <c r="I57" i="40" s="1"/>
  <c r="H33" i="40"/>
  <c r="H57" i="40"/>
  <c r="G33" i="40"/>
  <c r="G57" i="40"/>
  <c r="F33" i="40"/>
  <c r="M33" i="40" s="1"/>
  <c r="N10" i="40" s="1"/>
  <c r="E33" i="40"/>
  <c r="E57" i="40" s="1"/>
  <c r="D33" i="40"/>
  <c r="D57" i="40" s="1"/>
  <c r="K32" i="40"/>
  <c r="K56" i="40" s="1"/>
  <c r="J32" i="40"/>
  <c r="J56" i="40" s="1"/>
  <c r="I32" i="40"/>
  <c r="I56" i="40"/>
  <c r="H32" i="40"/>
  <c r="H56" i="40" s="1"/>
  <c r="G32" i="40"/>
  <c r="F32" i="40"/>
  <c r="F56" i="40"/>
  <c r="E32" i="40"/>
  <c r="E56" i="40" s="1"/>
  <c r="D32" i="40"/>
  <c r="D56" i="40" s="1"/>
  <c r="K31" i="40"/>
  <c r="K55" i="40"/>
  <c r="J31" i="40"/>
  <c r="J55" i="40" s="1"/>
  <c r="I31" i="40"/>
  <c r="I55" i="40" s="1"/>
  <c r="H31" i="40"/>
  <c r="H55" i="40" s="1"/>
  <c r="G31" i="40"/>
  <c r="F31" i="40"/>
  <c r="F55" i="40" s="1"/>
  <c r="E31" i="40"/>
  <c r="E55" i="40"/>
  <c r="D31" i="40"/>
  <c r="D55" i="40" s="1"/>
  <c r="K30" i="40"/>
  <c r="K54" i="40" s="1"/>
  <c r="J30" i="40"/>
  <c r="J54" i="40" s="1"/>
  <c r="I30" i="40"/>
  <c r="I54" i="40" s="1"/>
  <c r="H30" i="40"/>
  <c r="G30" i="40"/>
  <c r="F30" i="40"/>
  <c r="F54" i="40" s="1"/>
  <c r="E30" i="40"/>
  <c r="D30" i="40"/>
  <c r="W29" i="40"/>
  <c r="V29" i="40"/>
  <c r="U29" i="40"/>
  <c r="T29" i="40"/>
  <c r="S29" i="40"/>
  <c r="R29" i="40"/>
  <c r="Q29" i="40"/>
  <c r="P29" i="40"/>
  <c r="O29" i="40"/>
  <c r="N29" i="40"/>
  <c r="N53" i="40" s="1"/>
  <c r="K29" i="40"/>
  <c r="K53" i="40" s="1"/>
  <c r="J29" i="40"/>
  <c r="J53" i="40"/>
  <c r="I29" i="40"/>
  <c r="I53" i="40" s="1"/>
  <c r="H29" i="40"/>
  <c r="H53" i="40" s="1"/>
  <c r="G29" i="40"/>
  <c r="F29" i="40"/>
  <c r="E29" i="40"/>
  <c r="E53" i="40" s="1"/>
  <c r="D29" i="40"/>
  <c r="D53" i="40"/>
  <c r="K25" i="40"/>
  <c r="J25" i="40"/>
  <c r="I25" i="40"/>
  <c r="H25" i="40"/>
  <c r="G25" i="40"/>
  <c r="F25" i="40"/>
  <c r="E25" i="40"/>
  <c r="D25" i="40"/>
  <c r="D48" i="40" s="1"/>
  <c r="D72" i="40" s="1"/>
  <c r="M24" i="40"/>
  <c r="L24" i="40"/>
  <c r="M23" i="40"/>
  <c r="M22" i="40"/>
  <c r="L22" i="40"/>
  <c r="M21" i="40"/>
  <c r="L21" i="40"/>
  <c r="M20" i="40"/>
  <c r="L20" i="40"/>
  <c r="M19" i="40"/>
  <c r="L19" i="40"/>
  <c r="M18" i="40"/>
  <c r="L18" i="40"/>
  <c r="M17" i="40"/>
  <c r="L17" i="40"/>
  <c r="M16" i="40"/>
  <c r="L16" i="40"/>
  <c r="M15" i="40"/>
  <c r="L15" i="40"/>
  <c r="M14" i="40"/>
  <c r="L14" i="40"/>
  <c r="M13" i="40"/>
  <c r="L13" i="40"/>
  <c r="M12" i="40"/>
  <c r="L12" i="40"/>
  <c r="M11" i="40"/>
  <c r="L11" i="40"/>
  <c r="M10" i="40"/>
  <c r="L10" i="40"/>
  <c r="M9" i="40"/>
  <c r="L9" i="40"/>
  <c r="N8" i="40"/>
  <c r="N31" i="40" s="1"/>
  <c r="N55" i="40" s="1"/>
  <c r="M8" i="40"/>
  <c r="L8" i="40"/>
  <c r="M7" i="40"/>
  <c r="L7" i="40"/>
  <c r="R47" i="39"/>
  <c r="R71" i="39" s="1"/>
  <c r="Q47" i="39"/>
  <c r="Q71" i="39" s="1"/>
  <c r="P47" i="39"/>
  <c r="P71" i="39" s="1"/>
  <c r="O47" i="39"/>
  <c r="O71" i="39" s="1"/>
  <c r="N47" i="39"/>
  <c r="N71" i="39"/>
  <c r="M47" i="39"/>
  <c r="L47" i="39"/>
  <c r="L71" i="39"/>
  <c r="K47" i="39"/>
  <c r="K71" i="39" s="1"/>
  <c r="R46" i="39"/>
  <c r="R70" i="39" s="1"/>
  <c r="Q46" i="39"/>
  <c r="Q70" i="39"/>
  <c r="P46" i="39"/>
  <c r="P70" i="39"/>
  <c r="O46" i="39"/>
  <c r="O70" i="39" s="1"/>
  <c r="N46" i="39"/>
  <c r="M46" i="39"/>
  <c r="M70" i="39" s="1"/>
  <c r="S70" i="39" s="1"/>
  <c r="L46" i="39"/>
  <c r="L70" i="39" s="1"/>
  <c r="K46" i="39"/>
  <c r="K70" i="39"/>
  <c r="R45" i="39"/>
  <c r="R69" i="39"/>
  <c r="Q45" i="39"/>
  <c r="Q69" i="39" s="1"/>
  <c r="P45" i="39"/>
  <c r="P69" i="39" s="1"/>
  <c r="O45" i="39"/>
  <c r="O69" i="39" s="1"/>
  <c r="N45" i="39"/>
  <c r="N69" i="39"/>
  <c r="M45" i="39"/>
  <c r="M69" i="39" s="1"/>
  <c r="S69" i="39" s="1"/>
  <c r="L45" i="39"/>
  <c r="L69" i="39" s="1"/>
  <c r="K45" i="39"/>
  <c r="K69" i="39" s="1"/>
  <c r="R44" i="39"/>
  <c r="R68" i="39" s="1"/>
  <c r="Q44" i="39"/>
  <c r="Q68" i="39" s="1"/>
  <c r="P44" i="39"/>
  <c r="P68" i="39"/>
  <c r="O44" i="39"/>
  <c r="O68" i="39" s="1"/>
  <c r="N44" i="39"/>
  <c r="N68" i="39" s="1"/>
  <c r="M44" i="39"/>
  <c r="M68" i="39"/>
  <c r="L44" i="39"/>
  <c r="L68" i="39" s="1"/>
  <c r="K44" i="39"/>
  <c r="K68" i="39" s="1"/>
  <c r="R43" i="39"/>
  <c r="R67" i="39" s="1"/>
  <c r="Q43" i="39"/>
  <c r="Q67" i="39" s="1"/>
  <c r="P43" i="39"/>
  <c r="P67" i="39"/>
  <c r="O43" i="39"/>
  <c r="O67" i="39" s="1"/>
  <c r="N43" i="39"/>
  <c r="N67" i="39" s="1"/>
  <c r="M43" i="39"/>
  <c r="M67" i="39"/>
  <c r="S67" i="39" s="1"/>
  <c r="L43" i="39"/>
  <c r="L67" i="39" s="1"/>
  <c r="K43" i="39"/>
  <c r="K67" i="39"/>
  <c r="R42" i="39"/>
  <c r="R66" i="39" s="1"/>
  <c r="Q42" i="39"/>
  <c r="Q66" i="39" s="1"/>
  <c r="P42" i="39"/>
  <c r="P66" i="39"/>
  <c r="S66" i="39" s="1"/>
  <c r="O42" i="39"/>
  <c r="O66" i="39" s="1"/>
  <c r="N42" i="39"/>
  <c r="M42" i="39"/>
  <c r="M66" i="39" s="1"/>
  <c r="L42" i="39"/>
  <c r="L66" i="39"/>
  <c r="K42" i="39"/>
  <c r="K66" i="39" s="1"/>
  <c r="R41" i="39"/>
  <c r="Q41" i="39"/>
  <c r="Q65" i="39"/>
  <c r="P41" i="39"/>
  <c r="P65" i="39" s="1"/>
  <c r="O41" i="39"/>
  <c r="O65" i="39" s="1"/>
  <c r="N41" i="39"/>
  <c r="N65" i="39" s="1"/>
  <c r="M41" i="39"/>
  <c r="M65" i="39" s="1"/>
  <c r="S65" i="39" s="1"/>
  <c r="L41" i="39"/>
  <c r="L65" i="39"/>
  <c r="K41" i="39"/>
  <c r="K65" i="39" s="1"/>
  <c r="R40" i="39"/>
  <c r="R64" i="39" s="1"/>
  <c r="Q40" i="39"/>
  <c r="Q64" i="39" s="1"/>
  <c r="P40" i="39"/>
  <c r="P64" i="39" s="1"/>
  <c r="S64" i="39" s="1"/>
  <c r="O40" i="39"/>
  <c r="O64" i="39"/>
  <c r="N40" i="39"/>
  <c r="N64" i="39" s="1"/>
  <c r="M40" i="39"/>
  <c r="M64" i="39" s="1"/>
  <c r="L40" i="39"/>
  <c r="L64" i="39"/>
  <c r="K40" i="39"/>
  <c r="K64" i="39" s="1"/>
  <c r="R39" i="39"/>
  <c r="R63" i="39" s="1"/>
  <c r="Q39" i="39"/>
  <c r="Q63" i="39" s="1"/>
  <c r="P39" i="39"/>
  <c r="P63" i="39"/>
  <c r="O39" i="39"/>
  <c r="O63" i="39"/>
  <c r="N39" i="39"/>
  <c r="M39" i="39"/>
  <c r="M63" i="39" s="1"/>
  <c r="S63" i="39" s="1"/>
  <c r="L39" i="39"/>
  <c r="L63" i="39" s="1"/>
  <c r="K39" i="39"/>
  <c r="K63" i="39" s="1"/>
  <c r="R38" i="39"/>
  <c r="R62" i="39" s="1"/>
  <c r="Q38" i="39"/>
  <c r="Q62" i="39" s="1"/>
  <c r="P38" i="39"/>
  <c r="P62" i="39" s="1"/>
  <c r="O38" i="39"/>
  <c r="O62" i="39" s="1"/>
  <c r="N38" i="39"/>
  <c r="M38" i="39"/>
  <c r="M62" i="39"/>
  <c r="L38" i="39"/>
  <c r="L49" i="39" s="1"/>
  <c r="L73" i="39" s="1"/>
  <c r="K38" i="39"/>
  <c r="K62" i="39" s="1"/>
  <c r="R37" i="39"/>
  <c r="R61" i="39" s="1"/>
  <c r="Q37" i="39"/>
  <c r="Q61" i="39"/>
  <c r="P37" i="39"/>
  <c r="P61" i="39"/>
  <c r="O37" i="39"/>
  <c r="O61" i="39" s="1"/>
  <c r="N37" i="39"/>
  <c r="M37" i="39"/>
  <c r="M61" i="39" s="1"/>
  <c r="S61" i="39" s="1"/>
  <c r="L37" i="39"/>
  <c r="L61" i="39" s="1"/>
  <c r="K37" i="39"/>
  <c r="K61" i="39" s="1"/>
  <c r="R36" i="39"/>
  <c r="R60" i="39" s="1"/>
  <c r="Q36" i="39"/>
  <c r="Q60" i="39"/>
  <c r="P36" i="39"/>
  <c r="O36" i="39"/>
  <c r="O60" i="39" s="1"/>
  <c r="N36" i="39"/>
  <c r="M36" i="39"/>
  <c r="M60" i="39" s="1"/>
  <c r="L36" i="39"/>
  <c r="L60" i="39"/>
  <c r="K36" i="39"/>
  <c r="K60" i="39" s="1"/>
  <c r="R35" i="39"/>
  <c r="R59" i="39" s="1"/>
  <c r="Q35" i="39"/>
  <c r="Q59" i="39"/>
  <c r="P35" i="39"/>
  <c r="P59" i="39"/>
  <c r="O35" i="39"/>
  <c r="O59" i="39" s="1"/>
  <c r="N35" i="39"/>
  <c r="M35" i="39"/>
  <c r="M59" i="39" s="1"/>
  <c r="S59" i="39" s="1"/>
  <c r="L35" i="39"/>
  <c r="L59" i="39" s="1"/>
  <c r="K35" i="39"/>
  <c r="K59" i="39" s="1"/>
  <c r="R34" i="39"/>
  <c r="R58" i="39" s="1"/>
  <c r="Q34" i="39"/>
  <c r="Q58" i="39" s="1"/>
  <c r="P34" i="39"/>
  <c r="P58" i="39"/>
  <c r="O34" i="39"/>
  <c r="O58" i="39" s="1"/>
  <c r="N34" i="39"/>
  <c r="M34" i="39"/>
  <c r="M58" i="39" s="1"/>
  <c r="S58" i="39" s="1"/>
  <c r="L34" i="39"/>
  <c r="L58" i="39" s="1"/>
  <c r="K34" i="39"/>
  <c r="K58" i="39" s="1"/>
  <c r="R33" i="39"/>
  <c r="R57" i="39" s="1"/>
  <c r="Q33" i="39"/>
  <c r="Q57" i="39" s="1"/>
  <c r="P33" i="39"/>
  <c r="P57" i="39"/>
  <c r="O33" i="39"/>
  <c r="O57" i="39" s="1"/>
  <c r="N33" i="39"/>
  <c r="M33" i="39"/>
  <c r="M57" i="39" s="1"/>
  <c r="S57" i="39" s="1"/>
  <c r="L33" i="39"/>
  <c r="L57" i="39"/>
  <c r="K33" i="39"/>
  <c r="K57" i="39" s="1"/>
  <c r="R32" i="39"/>
  <c r="R56" i="39" s="1"/>
  <c r="Q32" i="39"/>
  <c r="Q56" i="39" s="1"/>
  <c r="P32" i="39"/>
  <c r="P56" i="39" s="1"/>
  <c r="O32" i="39"/>
  <c r="O56" i="39" s="1"/>
  <c r="N32" i="39"/>
  <c r="M32" i="39"/>
  <c r="M56" i="39" s="1"/>
  <c r="L32" i="39"/>
  <c r="L56" i="39" s="1"/>
  <c r="K32" i="39"/>
  <c r="K56" i="39" s="1"/>
  <c r="R31" i="39"/>
  <c r="R55" i="39" s="1"/>
  <c r="Q31" i="39"/>
  <c r="Q55" i="39" s="1"/>
  <c r="P31" i="39"/>
  <c r="P55" i="39" s="1"/>
  <c r="O31" i="39"/>
  <c r="N31" i="39"/>
  <c r="M31" i="39"/>
  <c r="M55" i="39" s="1"/>
  <c r="L31" i="39"/>
  <c r="L55" i="39" s="1"/>
  <c r="K31" i="39"/>
  <c r="K55" i="39"/>
  <c r="R30" i="39"/>
  <c r="R54" i="39" s="1"/>
  <c r="Q30" i="39"/>
  <c r="Q54" i="39" s="1"/>
  <c r="P30" i="39"/>
  <c r="O30" i="39"/>
  <c r="N30" i="39"/>
  <c r="M30" i="39"/>
  <c r="M54" i="39"/>
  <c r="T54" i="39" s="1"/>
  <c r="L30" i="39"/>
  <c r="K30" i="39"/>
  <c r="R25" i="39"/>
  <c r="Q25" i="39"/>
  <c r="P25" i="39"/>
  <c r="O25" i="39"/>
  <c r="N25" i="39"/>
  <c r="M25" i="39"/>
  <c r="L25" i="39"/>
  <c r="K25" i="39"/>
  <c r="K48" i="39" s="1"/>
  <c r="K72" i="39" s="1"/>
  <c r="T24" i="39"/>
  <c r="S24" i="39"/>
  <c r="T23" i="39"/>
  <c r="S23" i="39"/>
  <c r="T22" i="39"/>
  <c r="S22" i="39"/>
  <c r="T21" i="39"/>
  <c r="S21" i="39"/>
  <c r="T20" i="39"/>
  <c r="S20" i="39"/>
  <c r="T19" i="39"/>
  <c r="S19" i="39"/>
  <c r="T18" i="39"/>
  <c r="S18" i="39"/>
  <c r="T17" i="39"/>
  <c r="S17" i="39"/>
  <c r="T16" i="39"/>
  <c r="S16" i="39"/>
  <c r="T15" i="39"/>
  <c r="S15" i="39"/>
  <c r="T14" i="39"/>
  <c r="S14" i="39"/>
  <c r="T13" i="39"/>
  <c r="S13" i="39"/>
  <c r="T12" i="39"/>
  <c r="S12" i="39"/>
  <c r="T11" i="39"/>
  <c r="S11" i="39"/>
  <c r="T10" i="39"/>
  <c r="S10" i="39"/>
  <c r="T9" i="39"/>
  <c r="S9" i="39"/>
  <c r="U8" i="39"/>
  <c r="U31" i="39" s="1"/>
  <c r="U55" i="39" s="1"/>
  <c r="T8" i="39"/>
  <c r="S8" i="39"/>
  <c r="T7" i="39"/>
  <c r="S7" i="39"/>
  <c r="K48" i="38"/>
  <c r="K72" i="38"/>
  <c r="J48" i="38"/>
  <c r="J72" i="38" s="1"/>
  <c r="I48" i="38"/>
  <c r="I72" i="38" s="1"/>
  <c r="H48" i="38"/>
  <c r="H72" i="38" s="1"/>
  <c r="G48" i="38"/>
  <c r="G72" i="38" s="1"/>
  <c r="F48" i="38"/>
  <c r="E48" i="38"/>
  <c r="E72" i="38" s="1"/>
  <c r="D48" i="38"/>
  <c r="D72" i="38"/>
  <c r="K47" i="38"/>
  <c r="K71" i="38" s="1"/>
  <c r="J47" i="38"/>
  <c r="J71" i="38" s="1"/>
  <c r="I47" i="38"/>
  <c r="I71" i="38"/>
  <c r="H47" i="38"/>
  <c r="H71" i="38" s="1"/>
  <c r="L71" i="38" s="1"/>
  <c r="G47" i="38"/>
  <c r="G71" i="38" s="1"/>
  <c r="F47" i="38"/>
  <c r="E47" i="38"/>
  <c r="E71" i="38" s="1"/>
  <c r="D47" i="38"/>
  <c r="D71" i="38" s="1"/>
  <c r="K46" i="38"/>
  <c r="K70" i="38" s="1"/>
  <c r="J46" i="38"/>
  <c r="J70" i="38"/>
  <c r="I46" i="38"/>
  <c r="I70" i="38"/>
  <c r="H46" i="38"/>
  <c r="H70" i="38" s="1"/>
  <c r="G46" i="38"/>
  <c r="G70" i="38" s="1"/>
  <c r="F46" i="38"/>
  <c r="E46" i="38"/>
  <c r="E70" i="38" s="1"/>
  <c r="D46" i="38"/>
  <c r="D70" i="38"/>
  <c r="K45" i="38"/>
  <c r="K69" i="38"/>
  <c r="J45" i="38"/>
  <c r="J69" i="38" s="1"/>
  <c r="I45" i="38"/>
  <c r="I69" i="38" s="1"/>
  <c r="H45" i="38"/>
  <c r="H69" i="38"/>
  <c r="G45" i="38"/>
  <c r="G69" i="38"/>
  <c r="F45" i="38"/>
  <c r="E45" i="38"/>
  <c r="E69" i="38" s="1"/>
  <c r="D45" i="38"/>
  <c r="D69" i="38" s="1"/>
  <c r="K44" i="38"/>
  <c r="K68" i="38" s="1"/>
  <c r="J44" i="38"/>
  <c r="J68" i="38" s="1"/>
  <c r="I44" i="38"/>
  <c r="H44" i="38"/>
  <c r="H68" i="38" s="1"/>
  <c r="G44" i="38"/>
  <c r="G68" i="38" s="1"/>
  <c r="F44" i="38"/>
  <c r="E44" i="38"/>
  <c r="E68" i="38" s="1"/>
  <c r="D44" i="38"/>
  <c r="D68" i="38" s="1"/>
  <c r="K43" i="38"/>
  <c r="K67" i="38" s="1"/>
  <c r="J43" i="38"/>
  <c r="J67" i="38" s="1"/>
  <c r="L67" i="38" s="1"/>
  <c r="I43" i="38"/>
  <c r="I67" i="38" s="1"/>
  <c r="H43" i="38"/>
  <c r="H67" i="38" s="1"/>
  <c r="G43" i="38"/>
  <c r="G67" i="38"/>
  <c r="F43" i="38"/>
  <c r="E43" i="38"/>
  <c r="E67" i="38" s="1"/>
  <c r="D43" i="38"/>
  <c r="D67" i="38" s="1"/>
  <c r="K42" i="38"/>
  <c r="K66" i="38" s="1"/>
  <c r="J42" i="38"/>
  <c r="J66" i="38" s="1"/>
  <c r="I42" i="38"/>
  <c r="I66" i="38" s="1"/>
  <c r="H42" i="38"/>
  <c r="H66" i="38" s="1"/>
  <c r="G42" i="38"/>
  <c r="G66" i="38" s="1"/>
  <c r="F42" i="38"/>
  <c r="E42" i="38"/>
  <c r="E66" i="38"/>
  <c r="D42" i="38"/>
  <c r="D66" i="38" s="1"/>
  <c r="K41" i="38"/>
  <c r="K65" i="38" s="1"/>
  <c r="J41" i="38"/>
  <c r="J65" i="38"/>
  <c r="I41" i="38"/>
  <c r="I65" i="38"/>
  <c r="H41" i="38"/>
  <c r="H65" i="38" s="1"/>
  <c r="G41" i="38"/>
  <c r="G65" i="38" s="1"/>
  <c r="F41" i="38"/>
  <c r="E41" i="38"/>
  <c r="D41" i="38"/>
  <c r="D65" i="38" s="1"/>
  <c r="K40" i="38"/>
  <c r="K64" i="38" s="1"/>
  <c r="J40" i="38"/>
  <c r="J64" i="38" s="1"/>
  <c r="I40" i="38"/>
  <c r="I64" i="38" s="1"/>
  <c r="H40" i="38"/>
  <c r="G40" i="38"/>
  <c r="G64" i="38" s="1"/>
  <c r="F40" i="38"/>
  <c r="F64" i="38" s="1"/>
  <c r="E40" i="38"/>
  <c r="E64" i="38" s="1"/>
  <c r="D40" i="38"/>
  <c r="D64" i="38" s="1"/>
  <c r="K39" i="38"/>
  <c r="K63" i="38" s="1"/>
  <c r="J39" i="38"/>
  <c r="J63" i="38" s="1"/>
  <c r="I39" i="38"/>
  <c r="I63" i="38" s="1"/>
  <c r="H39" i="38"/>
  <c r="G39" i="38"/>
  <c r="G63" i="38" s="1"/>
  <c r="F39" i="38"/>
  <c r="F63" i="38" s="1"/>
  <c r="M63" i="38" s="1"/>
  <c r="E39" i="38"/>
  <c r="E63" i="38"/>
  <c r="D39" i="38"/>
  <c r="D63" i="38" s="1"/>
  <c r="K38" i="38"/>
  <c r="K62" i="38" s="1"/>
  <c r="J38" i="38"/>
  <c r="J62" i="38" s="1"/>
  <c r="I38" i="38"/>
  <c r="I62" i="38" s="1"/>
  <c r="H38" i="38"/>
  <c r="G38" i="38"/>
  <c r="F38" i="38"/>
  <c r="F62" i="38" s="1"/>
  <c r="E38" i="38"/>
  <c r="E62" i="38" s="1"/>
  <c r="D38" i="38"/>
  <c r="D62" i="38"/>
  <c r="K37" i="38"/>
  <c r="K61" i="38"/>
  <c r="J37" i="38"/>
  <c r="J61" i="38" s="1"/>
  <c r="I37" i="38"/>
  <c r="H37" i="38"/>
  <c r="G37" i="38"/>
  <c r="G61" i="38" s="1"/>
  <c r="F37" i="38"/>
  <c r="F61" i="38" s="1"/>
  <c r="E37" i="38"/>
  <c r="E61" i="38" s="1"/>
  <c r="D37" i="38"/>
  <c r="D61" i="38"/>
  <c r="K36" i="38"/>
  <c r="J36" i="38"/>
  <c r="J60" i="38" s="1"/>
  <c r="I36" i="38"/>
  <c r="I60" i="38" s="1"/>
  <c r="H36" i="38"/>
  <c r="G36" i="38"/>
  <c r="G60" i="38"/>
  <c r="F36" i="38"/>
  <c r="F60" i="38" s="1"/>
  <c r="E36" i="38"/>
  <c r="E60" i="38" s="1"/>
  <c r="D36" i="38"/>
  <c r="K35" i="38"/>
  <c r="K59" i="38" s="1"/>
  <c r="J35" i="38"/>
  <c r="J59" i="38"/>
  <c r="I35" i="38"/>
  <c r="I59" i="38" s="1"/>
  <c r="H35" i="38"/>
  <c r="G35" i="38"/>
  <c r="G59" i="38"/>
  <c r="F35" i="38"/>
  <c r="F59" i="38" s="1"/>
  <c r="L59" i="38" s="1"/>
  <c r="E35" i="38"/>
  <c r="E59" i="38" s="1"/>
  <c r="D35" i="38"/>
  <c r="D59" i="38" s="1"/>
  <c r="K34" i="38"/>
  <c r="K58" i="38"/>
  <c r="J34" i="38"/>
  <c r="J58" i="38" s="1"/>
  <c r="I34" i="38"/>
  <c r="I58" i="38" s="1"/>
  <c r="H34" i="38"/>
  <c r="G34" i="38"/>
  <c r="G58" i="38" s="1"/>
  <c r="F34" i="38"/>
  <c r="F58" i="38" s="1"/>
  <c r="E34" i="38"/>
  <c r="E58" i="38" s="1"/>
  <c r="D34" i="38"/>
  <c r="D58" i="38" s="1"/>
  <c r="K33" i="38"/>
  <c r="K57" i="38" s="1"/>
  <c r="J33" i="38"/>
  <c r="J57" i="38" s="1"/>
  <c r="I33" i="38"/>
  <c r="I57" i="38" s="1"/>
  <c r="H33" i="38"/>
  <c r="G33" i="38"/>
  <c r="F33" i="38"/>
  <c r="F57" i="38" s="1"/>
  <c r="E33" i="38"/>
  <c r="E57" i="38" s="1"/>
  <c r="D33" i="38"/>
  <c r="D57" i="38" s="1"/>
  <c r="K32" i="38"/>
  <c r="K56" i="38" s="1"/>
  <c r="J32" i="38"/>
  <c r="J56" i="38"/>
  <c r="I32" i="38"/>
  <c r="H32" i="38"/>
  <c r="G32" i="38"/>
  <c r="G56" i="38" s="1"/>
  <c r="F32" i="38"/>
  <c r="F56" i="38"/>
  <c r="E32" i="38"/>
  <c r="E56" i="38" s="1"/>
  <c r="D32" i="38"/>
  <c r="D56" i="38" s="1"/>
  <c r="K31" i="38"/>
  <c r="K55" i="38"/>
  <c r="J31" i="38"/>
  <c r="J55" i="38" s="1"/>
  <c r="I31" i="38"/>
  <c r="I55" i="38" s="1"/>
  <c r="H31" i="38"/>
  <c r="G31" i="38"/>
  <c r="G55" i="38" s="1"/>
  <c r="F31" i="38"/>
  <c r="E31" i="38"/>
  <c r="D31" i="38"/>
  <c r="W30" i="38"/>
  <c r="V30" i="38"/>
  <c r="U30" i="38"/>
  <c r="T30" i="38"/>
  <c r="S30" i="38"/>
  <c r="R30" i="38"/>
  <c r="Q30" i="38"/>
  <c r="P30" i="38"/>
  <c r="O30" i="38"/>
  <c r="N30" i="38"/>
  <c r="N54" i="38" s="1"/>
  <c r="K30" i="38"/>
  <c r="K54" i="38" s="1"/>
  <c r="J30" i="38"/>
  <c r="J54" i="38" s="1"/>
  <c r="I30" i="38"/>
  <c r="I54" i="38" s="1"/>
  <c r="H30" i="38"/>
  <c r="G30" i="38"/>
  <c r="G54" i="38" s="1"/>
  <c r="F30" i="38"/>
  <c r="E30" i="38"/>
  <c r="E54" i="38" s="1"/>
  <c r="D30" i="38"/>
  <c r="D54" i="38"/>
  <c r="K26" i="38"/>
  <c r="J26" i="38"/>
  <c r="I26" i="38"/>
  <c r="H26" i="38"/>
  <c r="G26" i="38"/>
  <c r="F26" i="38"/>
  <c r="E26" i="38"/>
  <c r="D26" i="38"/>
  <c r="D49" i="38" s="1"/>
  <c r="D73" i="38" s="1"/>
  <c r="M25" i="38"/>
  <c r="L25" i="38"/>
  <c r="M24" i="38"/>
  <c r="M23" i="38"/>
  <c r="L23" i="38"/>
  <c r="M22" i="38"/>
  <c r="L22" i="38"/>
  <c r="M21" i="38"/>
  <c r="L21" i="38"/>
  <c r="M20" i="38"/>
  <c r="L20" i="38"/>
  <c r="M19" i="38"/>
  <c r="L19" i="38"/>
  <c r="M18" i="38"/>
  <c r="L18" i="38"/>
  <c r="M17" i="38"/>
  <c r="L17" i="38"/>
  <c r="M16" i="38"/>
  <c r="L16" i="38"/>
  <c r="M15" i="38"/>
  <c r="L15" i="38"/>
  <c r="M14" i="38"/>
  <c r="L14" i="38"/>
  <c r="M13" i="38"/>
  <c r="L13" i="38"/>
  <c r="M12" i="38"/>
  <c r="L12" i="38"/>
  <c r="M11" i="38"/>
  <c r="L11" i="38"/>
  <c r="M10" i="38"/>
  <c r="L10" i="38"/>
  <c r="N9" i="38"/>
  <c r="N32" i="38" s="1"/>
  <c r="N56" i="38" s="1"/>
  <c r="M9" i="38"/>
  <c r="L9" i="38"/>
  <c r="M8" i="38"/>
  <c r="L8" i="38"/>
  <c r="S12" i="37"/>
  <c r="T12" i="37"/>
  <c r="S13" i="37"/>
  <c r="T13" i="37"/>
  <c r="S14" i="37"/>
  <c r="T14" i="37"/>
  <c r="S15" i="37"/>
  <c r="T15" i="37"/>
  <c r="S16" i="37"/>
  <c r="T16" i="37"/>
  <c r="S17" i="37"/>
  <c r="T17" i="37"/>
  <c r="S18" i="37"/>
  <c r="T18" i="37"/>
  <c r="S19" i="37"/>
  <c r="T19" i="37"/>
  <c r="S20" i="37"/>
  <c r="T20" i="37"/>
  <c r="S21" i="37"/>
  <c r="T21" i="37"/>
  <c r="T22" i="37"/>
  <c r="T23" i="37"/>
  <c r="S24" i="37"/>
  <c r="T24" i="37"/>
  <c r="K31" i="37"/>
  <c r="K55" i="37" s="1"/>
  <c r="L31" i="37"/>
  <c r="L55" i="37" s="1"/>
  <c r="M31" i="37"/>
  <c r="N31" i="37"/>
  <c r="N55" i="37" s="1"/>
  <c r="O31" i="37"/>
  <c r="O55" i="37" s="1"/>
  <c r="P31" i="37"/>
  <c r="P55" i="37" s="1"/>
  <c r="Q31" i="37"/>
  <c r="Q55" i="37" s="1"/>
  <c r="R31" i="37"/>
  <c r="R55" i="37"/>
  <c r="K32" i="37"/>
  <c r="K56" i="37" s="1"/>
  <c r="L32" i="37"/>
  <c r="L56" i="37" s="1"/>
  <c r="M32" i="37"/>
  <c r="M56" i="37" s="1"/>
  <c r="N32" i="37"/>
  <c r="N56" i="37" s="1"/>
  <c r="O32" i="37"/>
  <c r="O56" i="37" s="1"/>
  <c r="P32" i="37"/>
  <c r="P56" i="37" s="1"/>
  <c r="Q32" i="37"/>
  <c r="Q56" i="37" s="1"/>
  <c r="R32" i="37"/>
  <c r="R56" i="37" s="1"/>
  <c r="K33" i="37"/>
  <c r="K57" i="37" s="1"/>
  <c r="L33" i="37"/>
  <c r="L57" i="37" s="1"/>
  <c r="M33" i="37"/>
  <c r="N33" i="37"/>
  <c r="N57" i="37" s="1"/>
  <c r="O33" i="37"/>
  <c r="O57" i="37" s="1"/>
  <c r="P33" i="37"/>
  <c r="P57" i="37" s="1"/>
  <c r="Q33" i="37"/>
  <c r="Q57" i="37" s="1"/>
  <c r="R33" i="37"/>
  <c r="R57" i="37" s="1"/>
  <c r="K34" i="37"/>
  <c r="K58" i="37"/>
  <c r="L34" i="37"/>
  <c r="L58" i="37" s="1"/>
  <c r="M34" i="37"/>
  <c r="M58" i="37" s="1"/>
  <c r="T58" i="37" s="1"/>
  <c r="V58" i="37" s="1"/>
  <c r="W58" i="37" s="1"/>
  <c r="X58" i="37" s="1"/>
  <c r="Y58" i="37" s="1"/>
  <c r="Z58" i="37" s="1"/>
  <c r="AA58" i="37" s="1"/>
  <c r="AB58" i="37" s="1"/>
  <c r="AC58" i="37" s="1"/>
  <c r="AD58" i="37" s="1"/>
  <c r="N34" i="37"/>
  <c r="N58" i="37" s="1"/>
  <c r="O34" i="37"/>
  <c r="O58" i="37"/>
  <c r="P34" i="37"/>
  <c r="P58" i="37" s="1"/>
  <c r="Q34" i="37"/>
  <c r="Q58" i="37" s="1"/>
  <c r="R34" i="37"/>
  <c r="R58" i="37" s="1"/>
  <c r="K35" i="37"/>
  <c r="K59" i="37" s="1"/>
  <c r="L35" i="37"/>
  <c r="L59" i="37" s="1"/>
  <c r="M35" i="37"/>
  <c r="M59" i="37" s="1"/>
  <c r="N35" i="37"/>
  <c r="N59" i="37" s="1"/>
  <c r="O35" i="37"/>
  <c r="O59" i="37" s="1"/>
  <c r="P35" i="37"/>
  <c r="P59" i="37" s="1"/>
  <c r="Q35" i="37"/>
  <c r="Q59" i="37" s="1"/>
  <c r="R35" i="37"/>
  <c r="R59" i="37"/>
  <c r="K36" i="37"/>
  <c r="K60" i="37" s="1"/>
  <c r="L36" i="37"/>
  <c r="L60" i="37" s="1"/>
  <c r="M36" i="37"/>
  <c r="N36" i="37"/>
  <c r="N60" i="37" s="1"/>
  <c r="O36" i="37"/>
  <c r="O60" i="37" s="1"/>
  <c r="P36" i="37"/>
  <c r="Q36" i="37"/>
  <c r="R36" i="37"/>
  <c r="R60" i="37" s="1"/>
  <c r="K37" i="37"/>
  <c r="K61" i="37" s="1"/>
  <c r="L37" i="37"/>
  <c r="L61" i="37" s="1"/>
  <c r="M37" i="37"/>
  <c r="M61" i="37"/>
  <c r="N37" i="37"/>
  <c r="N61" i="37" s="1"/>
  <c r="O37" i="37"/>
  <c r="P37" i="37"/>
  <c r="P61" i="37" s="1"/>
  <c r="Q37" i="37"/>
  <c r="Q61" i="37" s="1"/>
  <c r="R37" i="37"/>
  <c r="R61" i="37" s="1"/>
  <c r="K38" i="37"/>
  <c r="K62" i="37" s="1"/>
  <c r="L38" i="37"/>
  <c r="L62" i="37" s="1"/>
  <c r="M38" i="37"/>
  <c r="M62" i="37" s="1"/>
  <c r="N38" i="37"/>
  <c r="O38" i="37"/>
  <c r="O62" i="37" s="1"/>
  <c r="P38" i="37"/>
  <c r="P62" i="37" s="1"/>
  <c r="Q38" i="37"/>
  <c r="Q62" i="37" s="1"/>
  <c r="R38" i="37"/>
  <c r="R62" i="37" s="1"/>
  <c r="K39" i="37"/>
  <c r="K63" i="37" s="1"/>
  <c r="L39" i="37"/>
  <c r="L63" i="37" s="1"/>
  <c r="M39" i="37"/>
  <c r="M63" i="37"/>
  <c r="T63" i="37" s="1"/>
  <c r="V63" i="37" s="1"/>
  <c r="W63" i="37" s="1"/>
  <c r="X63" i="37" s="1"/>
  <c r="Y63" i="37" s="1"/>
  <c r="Z63" i="37" s="1"/>
  <c r="AA63" i="37" s="1"/>
  <c r="AB63" i="37" s="1"/>
  <c r="AC63" i="37" s="1"/>
  <c r="AD63" i="37" s="1"/>
  <c r="N39" i="37"/>
  <c r="O39" i="37"/>
  <c r="O63" i="37" s="1"/>
  <c r="P39" i="37"/>
  <c r="P63" i="37" s="1"/>
  <c r="Q39" i="37"/>
  <c r="Q63" i="37"/>
  <c r="R39" i="37"/>
  <c r="R63" i="37" s="1"/>
  <c r="K40" i="37"/>
  <c r="K64" i="37" s="1"/>
  <c r="L40" i="37"/>
  <c r="M40" i="37"/>
  <c r="N40" i="37"/>
  <c r="N64" i="37" s="1"/>
  <c r="O40" i="37"/>
  <c r="O64" i="37"/>
  <c r="P40" i="37"/>
  <c r="P64" i="37" s="1"/>
  <c r="Q40" i="37"/>
  <c r="R40" i="37"/>
  <c r="R64" i="37" s="1"/>
  <c r="K41" i="37"/>
  <c r="K65" i="37"/>
  <c r="L41" i="37"/>
  <c r="L65" i="37"/>
  <c r="M41" i="37"/>
  <c r="N41" i="37"/>
  <c r="N65" i="37"/>
  <c r="O41" i="37"/>
  <c r="O65" i="37" s="1"/>
  <c r="P41" i="37"/>
  <c r="P65" i="37" s="1"/>
  <c r="Q41" i="37"/>
  <c r="Q65" i="37" s="1"/>
  <c r="R41" i="37"/>
  <c r="R65" i="37"/>
  <c r="K42" i="37"/>
  <c r="K66" i="37"/>
  <c r="L42" i="37"/>
  <c r="L66" i="37" s="1"/>
  <c r="M42" i="37"/>
  <c r="N42" i="37"/>
  <c r="N66" i="37" s="1"/>
  <c r="O42" i="37"/>
  <c r="O66" i="37" s="1"/>
  <c r="P42" i="37"/>
  <c r="P66" i="37"/>
  <c r="Q42" i="37"/>
  <c r="Q66" i="37"/>
  <c r="S66" i="37" s="1"/>
  <c r="R42" i="37"/>
  <c r="R66" i="37" s="1"/>
  <c r="K43" i="37"/>
  <c r="K67" i="37" s="1"/>
  <c r="L43" i="37"/>
  <c r="L67" i="37" s="1"/>
  <c r="M43" i="37"/>
  <c r="M67" i="37"/>
  <c r="N43" i="37"/>
  <c r="O43" i="37"/>
  <c r="O67" i="37" s="1"/>
  <c r="P43" i="37"/>
  <c r="P67" i="37"/>
  <c r="Q43" i="37"/>
  <c r="Q67" i="37" s="1"/>
  <c r="R43" i="37"/>
  <c r="R67" i="37" s="1"/>
  <c r="K44" i="37"/>
  <c r="K68" i="37" s="1"/>
  <c r="L44" i="37"/>
  <c r="L68" i="37"/>
  <c r="M44" i="37"/>
  <c r="M68" i="37" s="1"/>
  <c r="N44" i="37"/>
  <c r="N68" i="37" s="1"/>
  <c r="O44" i="37"/>
  <c r="O68" i="37"/>
  <c r="P44" i="37"/>
  <c r="P68" i="37" s="1"/>
  <c r="Q44" i="37"/>
  <c r="R44" i="37"/>
  <c r="R68" i="37" s="1"/>
  <c r="K45" i="37"/>
  <c r="K69" i="37"/>
  <c r="L45" i="37"/>
  <c r="L69" i="37"/>
  <c r="M45" i="37"/>
  <c r="M69" i="37" s="1"/>
  <c r="N45" i="37"/>
  <c r="O45" i="37"/>
  <c r="P45" i="37"/>
  <c r="P69" i="37" s="1"/>
  <c r="Q45" i="37"/>
  <c r="Q69" i="37"/>
  <c r="R45" i="37"/>
  <c r="R69" i="37"/>
  <c r="K46" i="37"/>
  <c r="K70" i="37" s="1"/>
  <c r="L46" i="37"/>
  <c r="L70" i="37" s="1"/>
  <c r="M46" i="37"/>
  <c r="N46" i="37"/>
  <c r="N70" i="37"/>
  <c r="O46" i="37"/>
  <c r="O70" i="37" s="1"/>
  <c r="P46" i="37"/>
  <c r="P70" i="37" s="1"/>
  <c r="Q46" i="37"/>
  <c r="Q70" i="37" s="1"/>
  <c r="R46" i="37"/>
  <c r="R70" i="37" s="1"/>
  <c r="K47" i="37"/>
  <c r="K71" i="37" s="1"/>
  <c r="L47" i="37"/>
  <c r="L71" i="37" s="1"/>
  <c r="M47" i="37"/>
  <c r="N47" i="37"/>
  <c r="N71" i="37" s="1"/>
  <c r="O47" i="37"/>
  <c r="O71" i="37" s="1"/>
  <c r="P47" i="37"/>
  <c r="P71" i="37"/>
  <c r="Q47" i="37"/>
  <c r="R47" i="37"/>
  <c r="R71" i="37" s="1"/>
  <c r="K30" i="37"/>
  <c r="K54" i="37" s="1"/>
  <c r="L30" i="37"/>
  <c r="L54" i="37"/>
  <c r="H101" i="30"/>
  <c r="D101" i="30"/>
  <c r="F101" i="30"/>
  <c r="H99" i="30"/>
  <c r="F99" i="30"/>
  <c r="D99" i="30"/>
  <c r="H98" i="30"/>
  <c r="F98" i="30"/>
  <c r="D98" i="30"/>
  <c r="J98" i="30"/>
  <c r="J102" i="30" s="1"/>
  <c r="J99" i="30"/>
  <c r="J101" i="30"/>
  <c r="F139" i="21"/>
  <c r="G139" i="21"/>
  <c r="H139" i="21"/>
  <c r="I139" i="21"/>
  <c r="J139" i="21"/>
  <c r="K139" i="21"/>
  <c r="L139" i="21"/>
  <c r="M139" i="21"/>
  <c r="N139" i="21"/>
  <c r="O139" i="21"/>
  <c r="F143" i="21"/>
  <c r="G143" i="21"/>
  <c r="H143" i="21"/>
  <c r="I143" i="21"/>
  <c r="J143" i="21"/>
  <c r="K143" i="21"/>
  <c r="L143" i="21"/>
  <c r="M143" i="21"/>
  <c r="N143" i="21"/>
  <c r="O143" i="21"/>
  <c r="F147" i="21"/>
  <c r="G147" i="21"/>
  <c r="P147" i="21" s="1"/>
  <c r="H147" i="21"/>
  <c r="I147" i="21"/>
  <c r="J147" i="21"/>
  <c r="K147" i="21"/>
  <c r="L147" i="21"/>
  <c r="M147" i="21"/>
  <c r="N147" i="21"/>
  <c r="O147" i="21"/>
  <c r="F151" i="21"/>
  <c r="P151" i="21" s="1"/>
  <c r="G151" i="21"/>
  <c r="H151" i="21"/>
  <c r="I151" i="21"/>
  <c r="J151" i="21"/>
  <c r="K151" i="21"/>
  <c r="L151" i="21"/>
  <c r="M151" i="21"/>
  <c r="N151" i="21"/>
  <c r="O151" i="21"/>
  <c r="F169" i="21"/>
  <c r="G169" i="21"/>
  <c r="H169" i="21"/>
  <c r="I169" i="21"/>
  <c r="J169" i="21"/>
  <c r="K169" i="21"/>
  <c r="L169" i="21"/>
  <c r="M169" i="21"/>
  <c r="N169" i="21"/>
  <c r="O169" i="21"/>
  <c r="P170" i="21"/>
  <c r="M30" i="37"/>
  <c r="M54" i="37" s="1"/>
  <c r="S54" i="37" s="1"/>
  <c r="N30" i="37"/>
  <c r="N54" i="37"/>
  <c r="O30" i="37"/>
  <c r="P30" i="37"/>
  <c r="P54" i="37" s="1"/>
  <c r="Q30" i="37"/>
  <c r="Q54" i="37" s="1"/>
  <c r="S7" i="37"/>
  <c r="T7" i="37"/>
  <c r="S8" i="37"/>
  <c r="T8" i="37"/>
  <c r="S9" i="37"/>
  <c r="T9" i="37"/>
  <c r="S10" i="37"/>
  <c r="T10" i="37"/>
  <c r="S11" i="37"/>
  <c r="T11" i="37"/>
  <c r="K25" i="37"/>
  <c r="K48" i="37"/>
  <c r="K72" i="37" s="1"/>
  <c r="L25" i="37"/>
  <c r="M48" i="37" s="1"/>
  <c r="M25" i="37"/>
  <c r="N25" i="37"/>
  <c r="O25" i="37"/>
  <c r="P25" i="37"/>
  <c r="Q25" i="37"/>
  <c r="P219" i="21"/>
  <c r="P215" i="21"/>
  <c r="O214" i="21"/>
  <c r="N214" i="21"/>
  <c r="M214" i="21"/>
  <c r="L214" i="21"/>
  <c r="K214" i="21"/>
  <c r="J214" i="21"/>
  <c r="I214" i="21"/>
  <c r="H214" i="21"/>
  <c r="G214" i="21"/>
  <c r="P214" i="21" s="1"/>
  <c r="F214" i="21"/>
  <c r="P212" i="21"/>
  <c r="P211" i="21"/>
  <c r="P210" i="21"/>
  <c r="P209" i="21"/>
  <c r="P208" i="21"/>
  <c r="P207" i="21"/>
  <c r="P206" i="21"/>
  <c r="P205" i="21"/>
  <c r="P203" i="21"/>
  <c r="P202" i="21"/>
  <c r="P200" i="21"/>
  <c r="P199" i="21"/>
  <c r="P198" i="21"/>
  <c r="P197" i="21"/>
  <c r="O196" i="21"/>
  <c r="N196" i="21"/>
  <c r="M196" i="21"/>
  <c r="L196" i="21"/>
  <c r="K196" i="21"/>
  <c r="J196" i="21"/>
  <c r="I196" i="21"/>
  <c r="H196" i="21"/>
  <c r="G196" i="21"/>
  <c r="F196" i="21"/>
  <c r="P195" i="21"/>
  <c r="P194" i="21"/>
  <c r="P193" i="21"/>
  <c r="O192" i="21"/>
  <c r="N192" i="21"/>
  <c r="M192" i="21"/>
  <c r="L192" i="21"/>
  <c r="P192" i="21" s="1"/>
  <c r="K192" i="21"/>
  <c r="J192" i="21"/>
  <c r="I192" i="21"/>
  <c r="H192" i="21"/>
  <c r="G192" i="21"/>
  <c r="F192" i="21"/>
  <c r="P191" i="21"/>
  <c r="P190" i="21"/>
  <c r="P189" i="21"/>
  <c r="O188" i="21"/>
  <c r="N188" i="21"/>
  <c r="M188" i="21"/>
  <c r="L188" i="21"/>
  <c r="K188" i="21"/>
  <c r="J188" i="21"/>
  <c r="I188" i="21"/>
  <c r="P188" i="21" s="1"/>
  <c r="H188" i="21"/>
  <c r="G188" i="21"/>
  <c r="F188" i="21"/>
  <c r="P187" i="21"/>
  <c r="P186" i="21"/>
  <c r="P185" i="21"/>
  <c r="O184" i="21"/>
  <c r="N184" i="21"/>
  <c r="M184" i="21"/>
  <c r="L184" i="21"/>
  <c r="K184" i="21"/>
  <c r="J184" i="21"/>
  <c r="I184" i="21"/>
  <c r="H184" i="21"/>
  <c r="G184" i="21"/>
  <c r="F184" i="21"/>
  <c r="P184" i="21" s="1"/>
  <c r="P182" i="21"/>
  <c r="P180" i="21"/>
  <c r="P179" i="21"/>
  <c r="P174" i="21"/>
  <c r="P167" i="21"/>
  <c r="P166" i="21"/>
  <c r="P165" i="21"/>
  <c r="P164" i="21"/>
  <c r="P163" i="21"/>
  <c r="P162" i="21"/>
  <c r="P161" i="21"/>
  <c r="P158" i="21"/>
  <c r="P157" i="21"/>
  <c r="P153" i="21"/>
  <c r="P152" i="21"/>
  <c r="P150" i="21"/>
  <c r="P149" i="21"/>
  <c r="P148" i="21"/>
  <c r="P146" i="21"/>
  <c r="P145" i="21"/>
  <c r="P144" i="21"/>
  <c r="P142" i="21"/>
  <c r="P141" i="21"/>
  <c r="P140" i="21"/>
  <c r="P137" i="21"/>
  <c r="P135" i="21"/>
  <c r="P134" i="21"/>
  <c r="F15" i="21"/>
  <c r="P15" i="21" s="1"/>
  <c r="I16" i="30"/>
  <c r="M16" i="30" s="1"/>
  <c r="I17" i="30"/>
  <c r="M17" i="30" s="1"/>
  <c r="I18" i="30"/>
  <c r="M18" i="30" s="1"/>
  <c r="I19" i="30"/>
  <c r="M19" i="30"/>
  <c r="I20" i="30"/>
  <c r="M20" i="30"/>
  <c r="I21" i="30"/>
  <c r="M21" i="30" s="1"/>
  <c r="I22" i="30"/>
  <c r="M22" i="30" s="1"/>
  <c r="I23" i="30"/>
  <c r="M23" i="30"/>
  <c r="I24" i="30"/>
  <c r="M24" i="30"/>
  <c r="I25" i="30"/>
  <c r="M25" i="30" s="1"/>
  <c r="I26" i="30"/>
  <c r="M26" i="30" s="1"/>
  <c r="I27" i="30"/>
  <c r="M27" i="30" s="1"/>
  <c r="I28" i="30"/>
  <c r="M28" i="30" s="1"/>
  <c r="I31" i="30"/>
  <c r="M31" i="30" s="1"/>
  <c r="G25" i="30"/>
  <c r="H25" i="30" s="1"/>
  <c r="G31" i="30"/>
  <c r="H31" i="30"/>
  <c r="K23" i="30"/>
  <c r="G23" i="30"/>
  <c r="H23" i="30" s="1"/>
  <c r="M45" i="38"/>
  <c r="N22" i="38" s="1"/>
  <c r="N45" i="38" s="1"/>
  <c r="N69" i="38" s="1"/>
  <c r="M48" i="38"/>
  <c r="N25" i="38"/>
  <c r="N48" i="38" s="1"/>
  <c r="N72" i="38" s="1"/>
  <c r="M44" i="38"/>
  <c r="N21" i="38" s="1"/>
  <c r="M47" i="38"/>
  <c r="N24" i="38" s="1"/>
  <c r="N47" i="38" s="1"/>
  <c r="N71" i="38" s="1"/>
  <c r="M46" i="38"/>
  <c r="N23" i="38" s="1"/>
  <c r="N46" i="38" s="1"/>
  <c r="N70" i="38" s="1"/>
  <c r="N33" i="40"/>
  <c r="N57" i="40" s="1"/>
  <c r="M37" i="40"/>
  <c r="N14" i="40" s="1"/>
  <c r="N37" i="40" s="1"/>
  <c r="N61" i="40" s="1"/>
  <c r="M43" i="40"/>
  <c r="N20" i="40"/>
  <c r="N43" i="40"/>
  <c r="N67" i="40" s="1"/>
  <c r="M47" i="40"/>
  <c r="N24" i="40" s="1"/>
  <c r="M30" i="38"/>
  <c r="L37" i="41"/>
  <c r="L48" i="39"/>
  <c r="L72" i="39" s="1"/>
  <c r="T56" i="37"/>
  <c r="V56" i="37" s="1"/>
  <c r="W56" i="37" s="1"/>
  <c r="X56" i="37" s="1"/>
  <c r="Y56" i="37" s="1"/>
  <c r="Z56" i="37" s="1"/>
  <c r="AA56" i="37" s="1"/>
  <c r="AB56" i="37" s="1"/>
  <c r="AC56" i="37" s="1"/>
  <c r="AD56" i="37" s="1"/>
  <c r="M41" i="38"/>
  <c r="N18" i="38"/>
  <c r="N41" i="38" s="1"/>
  <c r="N65" i="38" s="1"/>
  <c r="L64" i="40"/>
  <c r="F48" i="40"/>
  <c r="M42" i="40"/>
  <c r="N19" i="40" s="1"/>
  <c r="N42" i="40"/>
  <c r="N66" i="40" s="1"/>
  <c r="L33" i="41"/>
  <c r="M31" i="41"/>
  <c r="M32" i="41"/>
  <c r="N9" i="41" s="1"/>
  <c r="N32" i="41" s="1"/>
  <c r="N56" i="41" s="1"/>
  <c r="M33" i="41"/>
  <c r="N10" i="41"/>
  <c r="N33" i="41" s="1"/>
  <c r="N57" i="41" s="1"/>
  <c r="M31" i="38"/>
  <c r="N8" i="38" s="1"/>
  <c r="N31" i="38"/>
  <c r="N55" i="38" s="1"/>
  <c r="M43" i="38"/>
  <c r="N20" i="38" s="1"/>
  <c r="N43" i="38" s="1"/>
  <c r="N67" i="38" s="1"/>
  <c r="F54" i="38"/>
  <c r="M34" i="38"/>
  <c r="N11" i="38" s="1"/>
  <c r="M35" i="38"/>
  <c r="N12" i="38" s="1"/>
  <c r="S62" i="39"/>
  <c r="T62" i="39"/>
  <c r="V62" i="39" s="1"/>
  <c r="W62" i="39" s="1"/>
  <c r="X62" i="39" s="1"/>
  <c r="Y62" i="39" s="1"/>
  <c r="Z62" i="39" s="1"/>
  <c r="AA62" i="39" s="1"/>
  <c r="AB62" i="39" s="1"/>
  <c r="AC62" i="39" s="1"/>
  <c r="AD62" i="39" s="1"/>
  <c r="T34" i="39"/>
  <c r="U11" i="39"/>
  <c r="T36" i="39"/>
  <c r="U13" i="39" s="1"/>
  <c r="T46" i="39"/>
  <c r="U23" i="39" s="1"/>
  <c r="T38" i="39"/>
  <c r="U15" i="39" s="1"/>
  <c r="T42" i="39"/>
  <c r="U19" i="39" s="1"/>
  <c r="U42" i="39"/>
  <c r="U66" i="39" s="1"/>
  <c r="L35" i="41"/>
  <c r="M37" i="41"/>
  <c r="N14" i="41" s="1"/>
  <c r="N37" i="41" s="1"/>
  <c r="N61" i="41" s="1"/>
  <c r="L41" i="41"/>
  <c r="L42" i="41"/>
  <c r="L43" i="41"/>
  <c r="L44" i="41"/>
  <c r="M47" i="41"/>
  <c r="N24" i="41" s="1"/>
  <c r="N47" i="41" s="1"/>
  <c r="N71" i="41" s="1"/>
  <c r="M36" i="38"/>
  <c r="N13" i="38"/>
  <c r="N36" i="38" s="1"/>
  <c r="N60" i="38" s="1"/>
  <c r="M37" i="38"/>
  <c r="N14" i="38" s="1"/>
  <c r="N37" i="38"/>
  <c r="N61" i="38" s="1"/>
  <c r="M39" i="38"/>
  <c r="N16" i="38" s="1"/>
  <c r="M32" i="38"/>
  <c r="M40" i="38"/>
  <c r="N17" i="38" s="1"/>
  <c r="J48" i="40"/>
  <c r="J72" i="40"/>
  <c r="F66" i="40"/>
  <c r="L66" i="40" s="1"/>
  <c r="S54" i="39"/>
  <c r="V54" i="39"/>
  <c r="W54" i="39" s="1"/>
  <c r="X54" i="39" s="1"/>
  <c r="Y54" i="39" s="1"/>
  <c r="Z54" i="39" s="1"/>
  <c r="AA54" i="39" s="1"/>
  <c r="AB54" i="39" s="1"/>
  <c r="AC54" i="39" s="1"/>
  <c r="AD54" i="39" s="1"/>
  <c r="S68" i="39"/>
  <c r="T68" i="39"/>
  <c r="V68" i="39" s="1"/>
  <c r="W68" i="39" s="1"/>
  <c r="X68" i="39" s="1"/>
  <c r="Y68" i="39" s="1"/>
  <c r="Z68" i="39" s="1"/>
  <c r="AA68" i="39" s="1"/>
  <c r="AB68" i="39" s="1"/>
  <c r="AC68" i="39" s="1"/>
  <c r="AD68" i="39" s="1"/>
  <c r="T70" i="39"/>
  <c r="V70" i="39" s="1"/>
  <c r="W70" i="39" s="1"/>
  <c r="X70" i="39" s="1"/>
  <c r="Y70" i="39" s="1"/>
  <c r="Z70" i="39" s="1"/>
  <c r="AA70" i="39" s="1"/>
  <c r="AB70" i="39" s="1"/>
  <c r="AC70" i="39" s="1"/>
  <c r="AD70" i="39" s="1"/>
  <c r="T41" i="39"/>
  <c r="U18" i="39" s="1"/>
  <c r="T43" i="39"/>
  <c r="U20" i="39" s="1"/>
  <c r="T30" i="39"/>
  <c r="U7" i="39" s="1"/>
  <c r="S35" i="39"/>
  <c r="F48" i="41"/>
  <c r="M46" i="40"/>
  <c r="N23" i="40" s="1"/>
  <c r="N46" i="40" s="1"/>
  <c r="N70" i="40" s="1"/>
  <c r="G48" i="40"/>
  <c r="G72" i="40" s="1"/>
  <c r="T54" i="37"/>
  <c r="V54" i="37" s="1"/>
  <c r="W54" i="37" s="1"/>
  <c r="X54" i="37" s="1"/>
  <c r="Y54" i="37" s="1"/>
  <c r="Z54" i="37" s="1"/>
  <c r="AA54" i="37" s="1"/>
  <c r="AB54" i="37" s="1"/>
  <c r="AC54" i="37" s="1"/>
  <c r="AD54" i="37" s="1"/>
  <c r="H48" i="41"/>
  <c r="H72" i="41" s="1"/>
  <c r="J48" i="41"/>
  <c r="J72" i="41" s="1"/>
  <c r="G49" i="38"/>
  <c r="G73" i="38" s="1"/>
  <c r="K48" i="40"/>
  <c r="K72" i="40" s="1"/>
  <c r="Q48" i="39"/>
  <c r="K48" i="41"/>
  <c r="K72" i="41" s="1"/>
  <c r="K49" i="38"/>
  <c r="K73" i="38"/>
  <c r="M26" i="38"/>
  <c r="H49" i="38"/>
  <c r="H73" i="38"/>
  <c r="J49" i="38"/>
  <c r="J73" i="38"/>
  <c r="R48" i="39"/>
  <c r="R72" i="39" s="1"/>
  <c r="T45" i="39"/>
  <c r="U22" i="39"/>
  <c r="U45" i="39" s="1"/>
  <c r="U69" i="39" s="1"/>
  <c r="N48" i="39"/>
  <c r="N72" i="39"/>
  <c r="N48" i="37"/>
  <c r="N72" i="37"/>
  <c r="M69" i="41"/>
  <c r="O69" i="41" s="1"/>
  <c r="P69" i="41" s="1"/>
  <c r="Q69" i="41" s="1"/>
  <c r="R69" i="41" s="1"/>
  <c r="S69" i="41" s="1"/>
  <c r="T69" i="41" s="1"/>
  <c r="U69" i="41" s="1"/>
  <c r="V69" i="41" s="1"/>
  <c r="W69" i="41" s="1"/>
  <c r="L69" i="41"/>
  <c r="F60" i="41"/>
  <c r="M36" i="41"/>
  <c r="N13" i="41" s="1"/>
  <c r="N36" i="41" s="1"/>
  <c r="N60" i="41" s="1"/>
  <c r="M40" i="41"/>
  <c r="N17" i="41" s="1"/>
  <c r="F64" i="41"/>
  <c r="L25" i="41"/>
  <c r="H54" i="41"/>
  <c r="F65" i="41"/>
  <c r="J54" i="41"/>
  <c r="L30" i="41"/>
  <c r="L34" i="41"/>
  <c r="L47" i="41"/>
  <c r="F55" i="41"/>
  <c r="L45" i="41"/>
  <c r="L46" i="41"/>
  <c r="G48" i="41"/>
  <c r="G72" i="41" s="1"/>
  <c r="F56" i="41"/>
  <c r="F61" i="41"/>
  <c r="F54" i="41"/>
  <c r="M30" i="41"/>
  <c r="N7" i="41" s="1"/>
  <c r="N30" i="41" s="1"/>
  <c r="N54" i="41" s="1"/>
  <c r="L31" i="41"/>
  <c r="F58" i="41"/>
  <c r="M34" i="41"/>
  <c r="N11" i="41" s="1"/>
  <c r="F62" i="41"/>
  <c r="L62" i="41" s="1"/>
  <c r="M38" i="41"/>
  <c r="N15" i="41" s="1"/>
  <c r="N38" i="41" s="1"/>
  <c r="N62" i="41" s="1"/>
  <c r="F57" i="41"/>
  <c r="F71" i="41"/>
  <c r="M45" i="41"/>
  <c r="N22" i="41" s="1"/>
  <c r="M46" i="41"/>
  <c r="N23" i="41" s="1"/>
  <c r="N46" i="41" s="1"/>
  <c r="N70" i="41" s="1"/>
  <c r="F70" i="41"/>
  <c r="L32" i="41"/>
  <c r="F59" i="41"/>
  <c r="M35" i="41"/>
  <c r="N12" i="41" s="1"/>
  <c r="N35" i="41" s="1"/>
  <c r="N59" i="41" s="1"/>
  <c r="L36" i="41"/>
  <c r="M43" i="41"/>
  <c r="N20" i="41"/>
  <c r="F67" i="41"/>
  <c r="M44" i="41"/>
  <c r="N21" i="41"/>
  <c r="F68" i="41"/>
  <c r="M41" i="41"/>
  <c r="N18" i="41" s="1"/>
  <c r="N41" i="41" s="1"/>
  <c r="N65" i="41" s="1"/>
  <c r="M42" i="41"/>
  <c r="N19" i="41"/>
  <c r="N42" i="41" s="1"/>
  <c r="N66" i="41" s="1"/>
  <c r="F66" i="41"/>
  <c r="L66" i="41" s="1"/>
  <c r="M25" i="41"/>
  <c r="E54" i="41"/>
  <c r="G54" i="41"/>
  <c r="I48" i="41"/>
  <c r="I72" i="41"/>
  <c r="I54" i="41"/>
  <c r="L65" i="40"/>
  <c r="M65" i="40"/>
  <c r="O65" i="40" s="1"/>
  <c r="P65" i="40" s="1"/>
  <c r="Q65" i="40" s="1"/>
  <c r="R65" i="40" s="1"/>
  <c r="S65" i="40" s="1"/>
  <c r="T65" i="40" s="1"/>
  <c r="U65" i="40" s="1"/>
  <c r="V65" i="40" s="1"/>
  <c r="W65" i="40" s="1"/>
  <c r="L54" i="40"/>
  <c r="M54" i="40"/>
  <c r="O54" i="40"/>
  <c r="P54" i="40" s="1"/>
  <c r="Q54" i="40" s="1"/>
  <c r="R54" i="40" s="1"/>
  <c r="S54" i="40" s="1"/>
  <c r="T54" i="40" s="1"/>
  <c r="U54" i="40" s="1"/>
  <c r="V54" i="40" s="1"/>
  <c r="W54" i="40" s="1"/>
  <c r="L59" i="40"/>
  <c r="M59" i="40"/>
  <c r="O59" i="40" s="1"/>
  <c r="P59" i="40" s="1"/>
  <c r="Q59" i="40" s="1"/>
  <c r="R59" i="40" s="1"/>
  <c r="S59" i="40" s="1"/>
  <c r="T59" i="40" s="1"/>
  <c r="U59" i="40" s="1"/>
  <c r="V59" i="40" s="1"/>
  <c r="W59" i="40" s="1"/>
  <c r="G55" i="40"/>
  <c r="L55" i="40" s="1"/>
  <c r="M31" i="40"/>
  <c r="L58" i="40"/>
  <c r="M58" i="40"/>
  <c r="O58" i="40"/>
  <c r="P58" i="40" s="1"/>
  <c r="Q58" i="40" s="1"/>
  <c r="R58" i="40" s="1"/>
  <c r="S58" i="40" s="1"/>
  <c r="T58" i="40" s="1"/>
  <c r="U58" i="40" s="1"/>
  <c r="V58" i="40" s="1"/>
  <c r="W58" i="40" s="1"/>
  <c r="M25" i="40"/>
  <c r="E48" i="40"/>
  <c r="E72" i="40" s="1"/>
  <c r="M45" i="40"/>
  <c r="N22" i="40" s="1"/>
  <c r="N45" i="40" s="1"/>
  <c r="N69" i="40" s="1"/>
  <c r="L62" i="40"/>
  <c r="M62" i="40"/>
  <c r="O62" i="40" s="1"/>
  <c r="P62" i="40" s="1"/>
  <c r="Q62" i="40" s="1"/>
  <c r="R62" i="40" s="1"/>
  <c r="S62" i="40" s="1"/>
  <c r="T62" i="40" s="1"/>
  <c r="U62" i="40" s="1"/>
  <c r="V62" i="40" s="1"/>
  <c r="W62" i="40" s="1"/>
  <c r="L30" i="40"/>
  <c r="L32" i="40"/>
  <c r="M34" i="40"/>
  <c r="N11" i="40" s="1"/>
  <c r="M38" i="40"/>
  <c r="N15" i="40"/>
  <c r="M40" i="40"/>
  <c r="N17" i="40" s="1"/>
  <c r="M30" i="40"/>
  <c r="N7" i="40" s="1"/>
  <c r="G54" i="40"/>
  <c r="M32" i="40"/>
  <c r="N9" i="40"/>
  <c r="G56" i="40"/>
  <c r="M56" i="40" s="1"/>
  <c r="H54" i="40"/>
  <c r="M41" i="40"/>
  <c r="N18" i="40"/>
  <c r="F53" i="40"/>
  <c r="M53" i="40" s="1"/>
  <c r="O53" i="40" s="1"/>
  <c r="P53" i="40" s="1"/>
  <c r="Q53" i="40" s="1"/>
  <c r="R53" i="40" s="1"/>
  <c r="S53" i="40" s="1"/>
  <c r="T53" i="40" s="1"/>
  <c r="U53" i="40" s="1"/>
  <c r="V53" i="40" s="1"/>
  <c r="W53" i="40" s="1"/>
  <c r="F57" i="40"/>
  <c r="F61" i="40"/>
  <c r="F70" i="40"/>
  <c r="L41" i="40"/>
  <c r="L43" i="40"/>
  <c r="L45" i="40"/>
  <c r="L47" i="40"/>
  <c r="E54" i="40"/>
  <c r="D54" i="40"/>
  <c r="D49" i="40"/>
  <c r="D73" i="40" s="1"/>
  <c r="L31" i="40"/>
  <c r="L33" i="40"/>
  <c r="L34" i="40"/>
  <c r="L35" i="40"/>
  <c r="L38" i="40"/>
  <c r="L39" i="40"/>
  <c r="M64" i="40"/>
  <c r="O64" i="40" s="1"/>
  <c r="P64" i="40" s="1"/>
  <c r="Q64" i="40" s="1"/>
  <c r="R64" i="40" s="1"/>
  <c r="S64" i="40" s="1"/>
  <c r="T64" i="40" s="1"/>
  <c r="U64" i="40" s="1"/>
  <c r="V64" i="40" s="1"/>
  <c r="W64" i="40" s="1"/>
  <c r="M35" i="40"/>
  <c r="N12" i="40" s="1"/>
  <c r="M39" i="40"/>
  <c r="N16" i="40"/>
  <c r="F67" i="40"/>
  <c r="F69" i="40"/>
  <c r="F71" i="40"/>
  <c r="L40" i="40"/>
  <c r="L42" i="40"/>
  <c r="L46" i="40"/>
  <c r="T33" i="39"/>
  <c r="U10" i="39" s="1"/>
  <c r="N57" i="39"/>
  <c r="N63" i="39"/>
  <c r="T39" i="39"/>
  <c r="U16" i="39"/>
  <c r="V16" i="39" s="1"/>
  <c r="N58" i="39"/>
  <c r="O48" i="39"/>
  <c r="O72" i="39" s="1"/>
  <c r="N54" i="39"/>
  <c r="T58" i="39"/>
  <c r="N70" i="39"/>
  <c r="N60" i="39"/>
  <c r="N66" i="39"/>
  <c r="K54" i="39"/>
  <c r="K49" i="39"/>
  <c r="K73" i="39" s="1"/>
  <c r="S39" i="39"/>
  <c r="T40" i="39"/>
  <c r="U17" i="39" s="1"/>
  <c r="U40" i="39" s="1"/>
  <c r="T44" i="39"/>
  <c r="U21" i="39" s="1"/>
  <c r="S30" i="39"/>
  <c r="S33" i="39"/>
  <c r="S34" i="39"/>
  <c r="S38" i="39"/>
  <c r="S25" i="39"/>
  <c r="P48" i="39"/>
  <c r="P72" i="39"/>
  <c r="N62" i="39"/>
  <c r="N59" i="39"/>
  <c r="T35" i="39"/>
  <c r="U12" i="39" s="1"/>
  <c r="U35" i="39" s="1"/>
  <c r="N55" i="39"/>
  <c r="T31" i="39"/>
  <c r="O54" i="39"/>
  <c r="S41" i="39"/>
  <c r="S43" i="39"/>
  <c r="S45" i="39"/>
  <c r="L54" i="39"/>
  <c r="T59" i="39"/>
  <c r="V59" i="39" s="1"/>
  <c r="W59" i="39" s="1"/>
  <c r="X59" i="39" s="1"/>
  <c r="Y59" i="39" s="1"/>
  <c r="Z59" i="39" s="1"/>
  <c r="AA59" i="39" s="1"/>
  <c r="AB59" i="39" s="1"/>
  <c r="AC59" i="39" s="1"/>
  <c r="AD59" i="39" s="1"/>
  <c r="T63" i="39"/>
  <c r="V63" i="39"/>
  <c r="W63" i="39" s="1"/>
  <c r="X63" i="39" s="1"/>
  <c r="Y63" i="39" s="1"/>
  <c r="Z63" i="39" s="1"/>
  <c r="AA63" i="39" s="1"/>
  <c r="AB63" i="39" s="1"/>
  <c r="AC63" i="39" s="1"/>
  <c r="AD63" i="39" s="1"/>
  <c r="T67" i="39"/>
  <c r="V67" i="39"/>
  <c r="W67" i="39"/>
  <c r="X67" i="39" s="1"/>
  <c r="Y67" i="39" s="1"/>
  <c r="Z67" i="39" s="1"/>
  <c r="AA67" i="39" s="1"/>
  <c r="AB67" i="39" s="1"/>
  <c r="AC67" i="39" s="1"/>
  <c r="AD67" i="39" s="1"/>
  <c r="M48" i="39"/>
  <c r="P54" i="39"/>
  <c r="S40" i="39"/>
  <c r="S42" i="39"/>
  <c r="S44" i="39"/>
  <c r="S46" i="39"/>
  <c r="T57" i="39"/>
  <c r="V57" i="39" s="1"/>
  <c r="W57" i="39" s="1"/>
  <c r="X57" i="39" s="1"/>
  <c r="Y57" i="39" s="1"/>
  <c r="Z57" i="39" s="1"/>
  <c r="AA57" i="39" s="1"/>
  <c r="AB57" i="39" s="1"/>
  <c r="AC57" i="39" s="1"/>
  <c r="AD57" i="39" s="1"/>
  <c r="T61" i="39"/>
  <c r="V61" i="39" s="1"/>
  <c r="W61" i="39" s="1"/>
  <c r="X61" i="39" s="1"/>
  <c r="Y61" i="39" s="1"/>
  <c r="Z61" i="39" s="1"/>
  <c r="AA61" i="39" s="1"/>
  <c r="AB61" i="39" s="1"/>
  <c r="AC61" i="39" s="1"/>
  <c r="AD61" i="39" s="1"/>
  <c r="T65" i="39"/>
  <c r="V65" i="39" s="1"/>
  <c r="W65" i="39" s="1"/>
  <c r="X65" i="39" s="1"/>
  <c r="Y65" i="39" s="1"/>
  <c r="Z65" i="39" s="1"/>
  <c r="AA65" i="39" s="1"/>
  <c r="AB65" i="39" s="1"/>
  <c r="AC65" i="39" s="1"/>
  <c r="AD65" i="39" s="1"/>
  <c r="T69" i="39"/>
  <c r="V69" i="39" s="1"/>
  <c r="W69" i="39" s="1"/>
  <c r="X69" i="39" s="1"/>
  <c r="Y69" i="39" s="1"/>
  <c r="Z69" i="39" s="1"/>
  <c r="AA69" i="39" s="1"/>
  <c r="AB69" i="39" s="1"/>
  <c r="AC69" i="39" s="1"/>
  <c r="AD69" i="39" s="1"/>
  <c r="I49" i="38"/>
  <c r="I73" i="38"/>
  <c r="M56" i="38"/>
  <c r="O56" i="38" s="1"/>
  <c r="P56" i="38" s="1"/>
  <c r="Q56" i="38" s="1"/>
  <c r="R56" i="38" s="1"/>
  <c r="S56" i="38" s="1"/>
  <c r="T56" i="38" s="1"/>
  <c r="U56" i="38" s="1"/>
  <c r="V56" i="38" s="1"/>
  <c r="W56" i="38" s="1"/>
  <c r="H57" i="38"/>
  <c r="H61" i="38"/>
  <c r="E55" i="38"/>
  <c r="H56" i="38"/>
  <c r="H60" i="38"/>
  <c r="L36" i="38"/>
  <c r="H64" i="38"/>
  <c r="L40" i="38"/>
  <c r="E49" i="38"/>
  <c r="E73" i="38" s="1"/>
  <c r="L26" i="38"/>
  <c r="H55" i="38"/>
  <c r="L31" i="38"/>
  <c r="H59" i="38"/>
  <c r="L35" i="38"/>
  <c r="H63" i="38"/>
  <c r="L39" i="38"/>
  <c r="F49" i="38"/>
  <c r="H54" i="38"/>
  <c r="L30" i="38"/>
  <c r="L58" i="38"/>
  <c r="M58" i="38"/>
  <c r="O58" i="38" s="1"/>
  <c r="P58" i="38" s="1"/>
  <c r="Q58" i="38" s="1"/>
  <c r="R58" i="38" s="1"/>
  <c r="S58" i="38" s="1"/>
  <c r="T58" i="38" s="1"/>
  <c r="U58" i="38" s="1"/>
  <c r="V58" i="38" s="1"/>
  <c r="W58" i="38" s="1"/>
  <c r="H58" i="38"/>
  <c r="L34" i="38"/>
  <c r="M61" i="38"/>
  <c r="O61" i="38"/>
  <c r="P61" i="38" s="1"/>
  <c r="Q61" i="38" s="1"/>
  <c r="R61" i="38" s="1"/>
  <c r="S61" i="38" s="1"/>
  <c r="T61" i="38" s="1"/>
  <c r="U61" i="38" s="1"/>
  <c r="V61" i="38" s="1"/>
  <c r="W61" i="38" s="1"/>
  <c r="L61" i="38"/>
  <c r="H62" i="38"/>
  <c r="F66" i="38"/>
  <c r="L42" i="38"/>
  <c r="F68" i="38"/>
  <c r="F70" i="38"/>
  <c r="L46" i="38"/>
  <c r="F72" i="38"/>
  <c r="L48" i="38"/>
  <c r="F55" i="38"/>
  <c r="L55" i="38" s="1"/>
  <c r="D55" i="38"/>
  <c r="M59" i="38"/>
  <c r="O59" i="38" s="1"/>
  <c r="P59" i="38" s="1"/>
  <c r="Q59" i="38" s="1"/>
  <c r="R59" i="38" s="1"/>
  <c r="S59" i="38" s="1"/>
  <c r="T59" i="38" s="1"/>
  <c r="U59" i="38" s="1"/>
  <c r="V59" i="38" s="1"/>
  <c r="W59" i="38" s="1"/>
  <c r="M62" i="38"/>
  <c r="O62" i="38" s="1"/>
  <c r="P62" i="38" s="1"/>
  <c r="Q62" i="38" s="1"/>
  <c r="R62" i="38" s="1"/>
  <c r="S62" i="38" s="1"/>
  <c r="T62" i="38" s="1"/>
  <c r="U62" i="38" s="1"/>
  <c r="V62" i="38" s="1"/>
  <c r="W62" i="38" s="1"/>
  <c r="L62" i="38"/>
  <c r="O63" i="38"/>
  <c r="P63" i="38" s="1"/>
  <c r="Q63" i="38" s="1"/>
  <c r="R63" i="38" s="1"/>
  <c r="S63" i="38" s="1"/>
  <c r="T63" i="38" s="1"/>
  <c r="U63" i="38" s="1"/>
  <c r="V63" i="38" s="1"/>
  <c r="W63" i="38" s="1"/>
  <c r="L63" i="38"/>
  <c r="M64" i="38"/>
  <c r="O64" i="38"/>
  <c r="P64" i="38" s="1"/>
  <c r="Q64" i="38" s="1"/>
  <c r="R64" i="38" s="1"/>
  <c r="S64" i="38" s="1"/>
  <c r="T64" i="38" s="1"/>
  <c r="U64" i="38" s="1"/>
  <c r="V64" i="38" s="1"/>
  <c r="W64" i="38" s="1"/>
  <c r="L64" i="38"/>
  <c r="F67" i="38"/>
  <c r="L43" i="38"/>
  <c r="F69" i="38"/>
  <c r="L45" i="38"/>
  <c r="F71" i="38"/>
  <c r="L47" i="38"/>
  <c r="T47" i="37"/>
  <c r="U24" i="37" s="1"/>
  <c r="T42" i="37"/>
  <c r="U19" i="37" s="1"/>
  <c r="U42" i="37" s="1"/>
  <c r="U66" i="37" s="1"/>
  <c r="T41" i="37"/>
  <c r="U18" i="37" s="1"/>
  <c r="U41" i="37" s="1"/>
  <c r="U65" i="37" s="1"/>
  <c r="T40" i="37"/>
  <c r="U17" i="37"/>
  <c r="U40" i="37" s="1"/>
  <c r="U64" i="37" s="1"/>
  <c r="T36" i="37"/>
  <c r="U13" i="37" s="1"/>
  <c r="M60" i="37"/>
  <c r="S60" i="37" s="1"/>
  <c r="S69" i="37"/>
  <c r="T69" i="37"/>
  <c r="V69" i="37" s="1"/>
  <c r="W69" i="37" s="1"/>
  <c r="X69" i="37" s="1"/>
  <c r="Y69" i="37" s="1"/>
  <c r="Z69" i="37" s="1"/>
  <c r="AA69" i="37" s="1"/>
  <c r="AB69" i="37" s="1"/>
  <c r="AC69" i="37" s="1"/>
  <c r="AD69" i="37" s="1"/>
  <c r="S68" i="37"/>
  <c r="T68" i="37"/>
  <c r="V68" i="37" s="1"/>
  <c r="W68" i="37" s="1"/>
  <c r="X68" i="37" s="1"/>
  <c r="Y68" i="37" s="1"/>
  <c r="Z68" i="37" s="1"/>
  <c r="AA68" i="37" s="1"/>
  <c r="AB68" i="37" s="1"/>
  <c r="AC68" i="37" s="1"/>
  <c r="AD68" i="37" s="1"/>
  <c r="S67" i="37"/>
  <c r="T62" i="37"/>
  <c r="V62" i="37" s="1"/>
  <c r="W62" i="37" s="1"/>
  <c r="X62" i="37" s="1"/>
  <c r="Y62" i="37" s="1"/>
  <c r="Z62" i="37" s="1"/>
  <c r="AA62" i="37" s="1"/>
  <c r="AB62" i="37" s="1"/>
  <c r="AC62" i="37" s="1"/>
  <c r="AD62" i="37" s="1"/>
  <c r="S62" i="37"/>
  <c r="S61" i="37"/>
  <c r="T61" i="37"/>
  <c r="V61" i="37" s="1"/>
  <c r="W61" i="37" s="1"/>
  <c r="X61" i="37" s="1"/>
  <c r="Y61" i="37" s="1"/>
  <c r="Z61" i="37" s="1"/>
  <c r="AA61" i="37" s="1"/>
  <c r="AB61" i="37" s="1"/>
  <c r="AC61" i="37" s="1"/>
  <c r="AD61" i="37" s="1"/>
  <c r="S59" i="37"/>
  <c r="T59" i="37"/>
  <c r="V59" i="37"/>
  <c r="W59" i="37" s="1"/>
  <c r="X59" i="37" s="1"/>
  <c r="Y59" i="37" s="1"/>
  <c r="Z59" i="37" s="1"/>
  <c r="AA59" i="37" s="1"/>
  <c r="AB59" i="37" s="1"/>
  <c r="AC59" i="37" s="1"/>
  <c r="AD59" i="37" s="1"/>
  <c r="T45" i="37"/>
  <c r="U22" i="37" s="1"/>
  <c r="T43" i="37"/>
  <c r="U20" i="37" s="1"/>
  <c r="S58" i="37"/>
  <c r="S56" i="37"/>
  <c r="N69" i="37"/>
  <c r="N67" i="37"/>
  <c r="T67" i="37"/>
  <c r="V67" i="37" s="1"/>
  <c r="W67" i="37" s="1"/>
  <c r="X67" i="37" s="1"/>
  <c r="Y67" i="37" s="1"/>
  <c r="Z67" i="37" s="1"/>
  <c r="AA67" i="37" s="1"/>
  <c r="AB67" i="37" s="1"/>
  <c r="AC67" i="37" s="1"/>
  <c r="AD67" i="37" s="1"/>
  <c r="M64" i="37"/>
  <c r="T34" i="37"/>
  <c r="U11" i="37" s="1"/>
  <c r="T33" i="37"/>
  <c r="U10" i="37" s="1"/>
  <c r="U33" i="37" s="1"/>
  <c r="U57" i="37" s="1"/>
  <c r="T32" i="37"/>
  <c r="U9" i="37" s="1"/>
  <c r="T35" i="37"/>
  <c r="U12" i="37" s="1"/>
  <c r="M71" i="37"/>
  <c r="M65" i="37"/>
  <c r="M57" i="37"/>
  <c r="M66" i="37"/>
  <c r="P48" i="37"/>
  <c r="P72" i="37" s="1"/>
  <c r="S43" i="37"/>
  <c r="T44" i="37"/>
  <c r="U21" i="37" s="1"/>
  <c r="T37" i="37"/>
  <c r="U14" i="37" s="1"/>
  <c r="S34" i="37"/>
  <c r="Q48" i="37"/>
  <c r="Q72" i="37" s="1"/>
  <c r="O48" i="37"/>
  <c r="O72" i="37"/>
  <c r="S41" i="37"/>
  <c r="S35" i="37"/>
  <c r="S42" i="37"/>
  <c r="S33" i="37"/>
  <c r="S32" i="37"/>
  <c r="D102" i="30"/>
  <c r="J31" i="30"/>
  <c r="J25" i="30"/>
  <c r="K66" i="30" s="1"/>
  <c r="P160" i="21"/>
  <c r="T30" i="37"/>
  <c r="U7" i="37"/>
  <c r="U8" i="37"/>
  <c r="U31" i="37"/>
  <c r="U55" i="37" s="1"/>
  <c r="P196" i="21"/>
  <c r="G19" i="30"/>
  <c r="H19" i="30" s="1"/>
  <c r="J19" i="30" s="1"/>
  <c r="G26" i="30"/>
  <c r="H26" i="30" s="1"/>
  <c r="J26" i="30" s="1"/>
  <c r="G20" i="30"/>
  <c r="H20" i="30"/>
  <c r="J20" i="30" s="1"/>
  <c r="G16" i="30"/>
  <c r="H16" i="30" s="1"/>
  <c r="J16" i="30" s="1"/>
  <c r="G18" i="30"/>
  <c r="H18" i="30"/>
  <c r="J18" i="30" s="1"/>
  <c r="F60" i="30" s="1"/>
  <c r="G17" i="30"/>
  <c r="H17" i="30" s="1"/>
  <c r="J17" i="30" s="1"/>
  <c r="H59" i="30" s="1"/>
  <c r="G15" i="30"/>
  <c r="H15" i="30" s="1"/>
  <c r="J15" i="30" s="1"/>
  <c r="G22" i="30"/>
  <c r="H22" i="30" s="1"/>
  <c r="J22" i="30" s="1"/>
  <c r="G24" i="30"/>
  <c r="H24" i="30" s="1"/>
  <c r="J24" i="30" s="1"/>
  <c r="G21" i="30"/>
  <c r="H21" i="30" s="1"/>
  <c r="J21" i="30" s="1"/>
  <c r="G28" i="30"/>
  <c r="H28" i="30" s="1"/>
  <c r="J28" i="30" s="1"/>
  <c r="G27" i="30"/>
  <c r="H27" i="30" s="1"/>
  <c r="J27" i="30" s="1"/>
  <c r="K28" i="30"/>
  <c r="K21" i="30"/>
  <c r="K24" i="30"/>
  <c r="K22" i="30"/>
  <c r="K15" i="30"/>
  <c r="K17" i="30"/>
  <c r="K18" i="30"/>
  <c r="K16" i="30"/>
  <c r="K20" i="30"/>
  <c r="K26" i="30"/>
  <c r="K19" i="30"/>
  <c r="K27" i="30"/>
  <c r="C73" i="30"/>
  <c r="AA15" i="21"/>
  <c r="D40" i="71"/>
  <c r="L56" i="40"/>
  <c r="F72" i="40"/>
  <c r="O9" i="38"/>
  <c r="P9" i="38" s="1"/>
  <c r="T66" i="39"/>
  <c r="V66" i="39" s="1"/>
  <c r="W66" i="39" s="1"/>
  <c r="X66" i="39" s="1"/>
  <c r="Y66" i="39" s="1"/>
  <c r="Z66" i="39" s="1"/>
  <c r="AA66" i="39" s="1"/>
  <c r="AB66" i="39" s="1"/>
  <c r="AC66" i="39" s="1"/>
  <c r="AD66" i="39" s="1"/>
  <c r="T60" i="37"/>
  <c r="V60" i="37" s="1"/>
  <c r="W60" i="37" s="1"/>
  <c r="X60" i="37" s="1"/>
  <c r="Y60" i="37" s="1"/>
  <c r="Z60" i="37" s="1"/>
  <c r="AA60" i="37" s="1"/>
  <c r="AB60" i="37" s="1"/>
  <c r="AC60" i="37" s="1"/>
  <c r="AD60" i="37" s="1"/>
  <c r="M66" i="40"/>
  <c r="O19" i="40" s="1"/>
  <c r="G49" i="41"/>
  <c r="G73" i="41" s="1"/>
  <c r="F72" i="41"/>
  <c r="T55" i="39"/>
  <c r="V55" i="39" s="1"/>
  <c r="W55" i="39" s="1"/>
  <c r="X55" i="39" s="1"/>
  <c r="Y55" i="39" s="1"/>
  <c r="Z55" i="39" s="1"/>
  <c r="AA55" i="39" s="1"/>
  <c r="AB55" i="39" s="1"/>
  <c r="AC55" i="39" s="1"/>
  <c r="AD55" i="39" s="1"/>
  <c r="V22" i="39"/>
  <c r="V45" i="39" s="1"/>
  <c r="H73" i="30"/>
  <c r="J73" i="30"/>
  <c r="F73" i="30"/>
  <c r="K73" i="30"/>
  <c r="L73" i="30"/>
  <c r="H50" i="38"/>
  <c r="H74" i="38" s="1"/>
  <c r="M48" i="41"/>
  <c r="M48" i="40"/>
  <c r="F71" i="30"/>
  <c r="G71" i="30"/>
  <c r="E71" i="30"/>
  <c r="I71" i="30"/>
  <c r="H71" i="30"/>
  <c r="D71" i="30"/>
  <c r="J71" i="30"/>
  <c r="I49" i="41"/>
  <c r="I73" i="41" s="1"/>
  <c r="M55" i="40"/>
  <c r="L48" i="41"/>
  <c r="J50" i="38"/>
  <c r="J74" i="38" s="1"/>
  <c r="M57" i="41"/>
  <c r="L57" i="41"/>
  <c r="M54" i="41"/>
  <c r="O54" i="41" s="1"/>
  <c r="P54" i="41" s="1"/>
  <c r="Q54" i="41" s="1"/>
  <c r="R54" i="41" s="1"/>
  <c r="S54" i="41" s="1"/>
  <c r="T54" i="41" s="1"/>
  <c r="U54" i="41" s="1"/>
  <c r="V54" i="41" s="1"/>
  <c r="W54" i="41" s="1"/>
  <c r="L54" i="41"/>
  <c r="M59" i="41"/>
  <c r="O59" i="41" s="1"/>
  <c r="P59" i="41" s="1"/>
  <c r="Q59" i="41" s="1"/>
  <c r="R59" i="41" s="1"/>
  <c r="S59" i="41" s="1"/>
  <c r="T59" i="41" s="1"/>
  <c r="U59" i="41" s="1"/>
  <c r="V59" i="41" s="1"/>
  <c r="W59" i="41" s="1"/>
  <c r="L59" i="41"/>
  <c r="M64" i="41"/>
  <c r="O64" i="41"/>
  <c r="P64" i="41" s="1"/>
  <c r="Q64" i="41" s="1"/>
  <c r="R64" i="41" s="1"/>
  <c r="S64" i="41" s="1"/>
  <c r="T64" i="41" s="1"/>
  <c r="U64" i="41" s="1"/>
  <c r="V64" i="41" s="1"/>
  <c r="W64" i="41" s="1"/>
  <c r="M68" i="41"/>
  <c r="O68" i="41" s="1"/>
  <c r="P68" i="41" s="1"/>
  <c r="Q68" i="41" s="1"/>
  <c r="R68" i="41" s="1"/>
  <c r="S68" i="41" s="1"/>
  <c r="T68" i="41" s="1"/>
  <c r="U68" i="41" s="1"/>
  <c r="V68" i="41" s="1"/>
  <c r="W68" i="41" s="1"/>
  <c r="L68" i="41"/>
  <c r="M55" i="41"/>
  <c r="L55" i="41"/>
  <c r="M65" i="41"/>
  <c r="O65" i="41" s="1"/>
  <c r="P65" i="41" s="1"/>
  <c r="Q65" i="41" s="1"/>
  <c r="R65" i="41" s="1"/>
  <c r="S65" i="41" s="1"/>
  <c r="T65" i="41" s="1"/>
  <c r="U65" i="41" s="1"/>
  <c r="V65" i="41" s="1"/>
  <c r="W65" i="41" s="1"/>
  <c r="L65" i="41"/>
  <c r="N43" i="41"/>
  <c r="N67" i="41" s="1"/>
  <c r="M58" i="41"/>
  <c r="O58" i="41" s="1"/>
  <c r="P58" i="41" s="1"/>
  <c r="Q58" i="41" s="1"/>
  <c r="R58" i="41" s="1"/>
  <c r="S58" i="41" s="1"/>
  <c r="T58" i="41" s="1"/>
  <c r="U58" i="41" s="1"/>
  <c r="V58" i="41" s="1"/>
  <c r="W58" i="41" s="1"/>
  <c r="L58" i="41"/>
  <c r="M71" i="41"/>
  <c r="L71" i="41"/>
  <c r="N44" i="41"/>
  <c r="N68" i="41" s="1"/>
  <c r="M60" i="41"/>
  <c r="O60" i="41" s="1"/>
  <c r="P60" i="41" s="1"/>
  <c r="Q60" i="41" s="1"/>
  <c r="R60" i="41" s="1"/>
  <c r="S60" i="41" s="1"/>
  <c r="T60" i="41" s="1"/>
  <c r="U60" i="41" s="1"/>
  <c r="V60" i="41" s="1"/>
  <c r="W60" i="41" s="1"/>
  <c r="L60" i="41"/>
  <c r="M66" i="41"/>
  <c r="O66" i="41" s="1"/>
  <c r="P66" i="41" s="1"/>
  <c r="Q66" i="41" s="1"/>
  <c r="R66" i="41" s="1"/>
  <c r="S66" i="41" s="1"/>
  <c r="T66" i="41" s="1"/>
  <c r="U66" i="41" s="1"/>
  <c r="V66" i="41" s="1"/>
  <c r="W66" i="41" s="1"/>
  <c r="L69" i="40"/>
  <c r="M69" i="40"/>
  <c r="O69" i="40" s="1"/>
  <c r="P69" i="40" s="1"/>
  <c r="Q69" i="40" s="1"/>
  <c r="R69" i="40" s="1"/>
  <c r="S69" i="40" s="1"/>
  <c r="T69" i="40" s="1"/>
  <c r="U69" i="40" s="1"/>
  <c r="V69" i="40" s="1"/>
  <c r="W69" i="40" s="1"/>
  <c r="L57" i="40"/>
  <c r="M57" i="40"/>
  <c r="L67" i="40"/>
  <c r="M67" i="40"/>
  <c r="L53" i="40"/>
  <c r="N38" i="40"/>
  <c r="N62" i="40" s="1"/>
  <c r="P15" i="40" s="1"/>
  <c r="O15" i="40"/>
  <c r="M70" i="40"/>
  <c r="N32" i="40"/>
  <c r="N56" i="40" s="1"/>
  <c r="L71" i="40"/>
  <c r="M71" i="40"/>
  <c r="L61" i="40"/>
  <c r="M61" i="40"/>
  <c r="V58" i="39"/>
  <c r="W58" i="39" s="1"/>
  <c r="X58" i="39" s="1"/>
  <c r="Y58" i="39" s="1"/>
  <c r="Z58" i="39" s="1"/>
  <c r="AA58" i="39" s="1"/>
  <c r="AB58" i="39" s="1"/>
  <c r="AC58" i="39" s="1"/>
  <c r="AD58" i="39" s="1"/>
  <c r="U59" i="39"/>
  <c r="V12" i="39"/>
  <c r="M49" i="39"/>
  <c r="M72" i="39"/>
  <c r="U64" i="39"/>
  <c r="U39" i="39"/>
  <c r="U63" i="39" s="1"/>
  <c r="M67" i="38"/>
  <c r="M72" i="38"/>
  <c r="L72" i="38"/>
  <c r="M70" i="38"/>
  <c r="L70" i="38"/>
  <c r="O14" i="38"/>
  <c r="M71" i="38"/>
  <c r="M68" i="38"/>
  <c r="L68" i="38"/>
  <c r="S71" i="37"/>
  <c r="T71" i="37"/>
  <c r="T64" i="37"/>
  <c r="S65" i="37"/>
  <c r="T65" i="37"/>
  <c r="T66" i="37"/>
  <c r="S57" i="37"/>
  <c r="T57" i="37"/>
  <c r="V57" i="37" s="1"/>
  <c r="W57" i="37" s="1"/>
  <c r="X57" i="37" s="1"/>
  <c r="Y57" i="37" s="1"/>
  <c r="Z57" i="37" s="1"/>
  <c r="AA57" i="37" s="1"/>
  <c r="AB57" i="37" s="1"/>
  <c r="AC57" i="37" s="1"/>
  <c r="AD57" i="37" s="1"/>
  <c r="G73" i="30"/>
  <c r="D73" i="30"/>
  <c r="E73" i="30"/>
  <c r="I73" i="30"/>
  <c r="L71" i="30"/>
  <c r="C71" i="30"/>
  <c r="K71" i="30"/>
  <c r="I72" i="30"/>
  <c r="J66" i="30"/>
  <c r="G66" i="30"/>
  <c r="C66" i="30"/>
  <c r="H72" i="30"/>
  <c r="I66" i="30"/>
  <c r="G72" i="30"/>
  <c r="L72" i="30"/>
  <c r="F66" i="30"/>
  <c r="D72" i="30"/>
  <c r="H66" i="30"/>
  <c r="F72" i="30"/>
  <c r="C72" i="30"/>
  <c r="L66" i="30"/>
  <c r="E66" i="30"/>
  <c r="K72" i="30"/>
  <c r="D66" i="30"/>
  <c r="E72" i="30"/>
  <c r="J72" i="30"/>
  <c r="U30" i="37"/>
  <c r="U54" i="37" s="1"/>
  <c r="R30" i="37"/>
  <c r="R54" i="37" s="1"/>
  <c r="R25" i="37"/>
  <c r="R48" i="37" s="1"/>
  <c r="J49" i="25"/>
  <c r="K49" i="25"/>
  <c r="L49" i="25"/>
  <c r="M49" i="25"/>
  <c r="N49" i="25"/>
  <c r="O49" i="25"/>
  <c r="P49" i="25"/>
  <c r="Q49" i="25"/>
  <c r="R49" i="25"/>
  <c r="S49" i="25"/>
  <c r="T49" i="25"/>
  <c r="J50" i="25"/>
  <c r="K50" i="25"/>
  <c r="L50" i="25"/>
  <c r="M50" i="25"/>
  <c r="N50" i="25"/>
  <c r="O50" i="25"/>
  <c r="P50" i="25"/>
  <c r="Q50" i="25"/>
  <c r="R50" i="25"/>
  <c r="S50" i="25"/>
  <c r="T50" i="25"/>
  <c r="J51" i="25"/>
  <c r="K51" i="25"/>
  <c r="L51" i="25"/>
  <c r="M51" i="25"/>
  <c r="N51" i="25"/>
  <c r="O51" i="25"/>
  <c r="P51" i="25"/>
  <c r="Q51" i="25"/>
  <c r="R51" i="25"/>
  <c r="S51" i="25"/>
  <c r="T51" i="25"/>
  <c r="J52" i="25"/>
  <c r="K52" i="25"/>
  <c r="L52" i="25"/>
  <c r="M52" i="25"/>
  <c r="N52" i="25"/>
  <c r="O52" i="25"/>
  <c r="P52" i="25"/>
  <c r="Q52" i="25"/>
  <c r="R52" i="25"/>
  <c r="S52" i="25"/>
  <c r="T52" i="25"/>
  <c r="J53" i="25"/>
  <c r="K53" i="25"/>
  <c r="L53" i="25"/>
  <c r="M53" i="25"/>
  <c r="N53" i="25"/>
  <c r="O53" i="25"/>
  <c r="P53" i="25"/>
  <c r="Q53" i="25"/>
  <c r="R53" i="25"/>
  <c r="S53" i="25"/>
  <c r="T53" i="25"/>
  <c r="J54" i="25"/>
  <c r="K54" i="25"/>
  <c r="L54" i="25"/>
  <c r="M54" i="25"/>
  <c r="N54" i="25"/>
  <c r="O54" i="25"/>
  <c r="P54" i="25"/>
  <c r="Q54" i="25"/>
  <c r="R54" i="25"/>
  <c r="S54" i="25"/>
  <c r="T54" i="25"/>
  <c r="J55" i="25"/>
  <c r="K55" i="25"/>
  <c r="L55" i="25"/>
  <c r="M55" i="25"/>
  <c r="N55" i="25"/>
  <c r="O55" i="25"/>
  <c r="P55" i="25"/>
  <c r="Q55" i="25"/>
  <c r="R55" i="25"/>
  <c r="S55" i="25"/>
  <c r="T55" i="25"/>
  <c r="K48" i="25"/>
  <c r="L48" i="25"/>
  <c r="M48" i="25"/>
  <c r="N48" i="25"/>
  <c r="O48" i="25"/>
  <c r="P48" i="25"/>
  <c r="Q48" i="25"/>
  <c r="R48" i="25"/>
  <c r="S48" i="25"/>
  <c r="T48" i="25"/>
  <c r="J48" i="25"/>
  <c r="C49" i="25"/>
  <c r="D49" i="25"/>
  <c r="E49" i="25"/>
  <c r="F49" i="25"/>
  <c r="G49" i="25"/>
  <c r="H49" i="25"/>
  <c r="I49" i="25"/>
  <c r="C50" i="25"/>
  <c r="D50" i="25"/>
  <c r="E50" i="25"/>
  <c r="F50" i="25"/>
  <c r="G50" i="25"/>
  <c r="H50" i="25"/>
  <c r="I50" i="25"/>
  <c r="C51" i="25"/>
  <c r="D51" i="25"/>
  <c r="E51" i="25"/>
  <c r="F51" i="25"/>
  <c r="G51" i="25"/>
  <c r="H51" i="25"/>
  <c r="I51" i="25"/>
  <c r="C52" i="25"/>
  <c r="D52" i="25"/>
  <c r="E52" i="25"/>
  <c r="F52" i="25"/>
  <c r="G52" i="25"/>
  <c r="H52" i="25"/>
  <c r="I52" i="25"/>
  <c r="C53" i="25"/>
  <c r="D53" i="25"/>
  <c r="E53" i="25"/>
  <c r="F53" i="25"/>
  <c r="G53" i="25"/>
  <c r="H53" i="25"/>
  <c r="I53" i="25"/>
  <c r="C54" i="25"/>
  <c r="D54" i="25"/>
  <c r="E54" i="25"/>
  <c r="F54" i="25"/>
  <c r="G54" i="25"/>
  <c r="H54" i="25"/>
  <c r="I54" i="25"/>
  <c r="C55" i="25"/>
  <c r="D55" i="25"/>
  <c r="E55" i="25"/>
  <c r="F55" i="25"/>
  <c r="G55" i="25"/>
  <c r="H55" i="25"/>
  <c r="I55" i="25"/>
  <c r="D48" i="25"/>
  <c r="E48" i="25"/>
  <c r="F48" i="25"/>
  <c r="G48" i="25"/>
  <c r="H48" i="25"/>
  <c r="I48" i="25"/>
  <c r="C48" i="25"/>
  <c r="J40" i="25"/>
  <c r="K40" i="25"/>
  <c r="L40" i="25"/>
  <c r="M40" i="25"/>
  <c r="N40" i="25"/>
  <c r="O40" i="25"/>
  <c r="P40" i="25"/>
  <c r="Q40" i="25"/>
  <c r="R40" i="25"/>
  <c r="S40" i="25"/>
  <c r="T40" i="25"/>
  <c r="J41" i="25"/>
  <c r="K41" i="25"/>
  <c r="L41" i="25"/>
  <c r="M41" i="25"/>
  <c r="N41" i="25"/>
  <c r="O41" i="25"/>
  <c r="P41" i="25"/>
  <c r="Q41" i="25"/>
  <c r="R41" i="25"/>
  <c r="S41" i="25"/>
  <c r="T41" i="25"/>
  <c r="J42" i="25"/>
  <c r="K42" i="25"/>
  <c r="L42" i="25"/>
  <c r="M42" i="25"/>
  <c r="N42" i="25"/>
  <c r="O42" i="25"/>
  <c r="P42" i="25"/>
  <c r="Q42" i="25"/>
  <c r="R42" i="25"/>
  <c r="S42" i="25"/>
  <c r="T42" i="25"/>
  <c r="J43" i="25"/>
  <c r="K43" i="25"/>
  <c r="L43" i="25"/>
  <c r="M43" i="25"/>
  <c r="N43" i="25"/>
  <c r="O43" i="25"/>
  <c r="P43" i="25"/>
  <c r="Q43" i="25"/>
  <c r="R43" i="25"/>
  <c r="S43" i="25"/>
  <c r="T43" i="25"/>
  <c r="J44" i="25"/>
  <c r="K44" i="25"/>
  <c r="L44" i="25"/>
  <c r="M44" i="25"/>
  <c r="N44" i="25"/>
  <c r="O44" i="25"/>
  <c r="P44" i="25"/>
  <c r="Q44" i="25"/>
  <c r="R44" i="25"/>
  <c r="S44" i="25"/>
  <c r="T44" i="25"/>
  <c r="J45" i="25"/>
  <c r="K45" i="25"/>
  <c r="L45" i="25"/>
  <c r="M45" i="25"/>
  <c r="N45" i="25"/>
  <c r="O45" i="25"/>
  <c r="P45" i="25"/>
  <c r="Q45" i="25"/>
  <c r="R45" i="25"/>
  <c r="S45" i="25"/>
  <c r="T45" i="25"/>
  <c r="J46" i="25"/>
  <c r="K46" i="25"/>
  <c r="L46" i="25"/>
  <c r="M46" i="25"/>
  <c r="N46" i="25"/>
  <c r="O46" i="25"/>
  <c r="P46" i="25"/>
  <c r="Q46" i="25"/>
  <c r="R46" i="25"/>
  <c r="S46" i="25"/>
  <c r="T46" i="25"/>
  <c r="K39" i="25"/>
  <c r="L39" i="25"/>
  <c r="M39" i="25"/>
  <c r="N39" i="25"/>
  <c r="O39" i="25"/>
  <c r="P39" i="25"/>
  <c r="Q39" i="25"/>
  <c r="R39" i="25"/>
  <c r="S39" i="25"/>
  <c r="T39" i="25"/>
  <c r="J39" i="25"/>
  <c r="C40" i="25"/>
  <c r="D40" i="25"/>
  <c r="E40" i="25"/>
  <c r="F40" i="25"/>
  <c r="G40" i="25"/>
  <c r="H40" i="25"/>
  <c r="I40" i="25"/>
  <c r="C41" i="25"/>
  <c r="D41" i="25"/>
  <c r="E41" i="25"/>
  <c r="F41" i="25"/>
  <c r="G41" i="25"/>
  <c r="H41" i="25"/>
  <c r="I41" i="25"/>
  <c r="C42" i="25"/>
  <c r="D42" i="25"/>
  <c r="E42" i="25"/>
  <c r="F42" i="25"/>
  <c r="G42" i="25"/>
  <c r="H42" i="25"/>
  <c r="I42" i="25"/>
  <c r="C43" i="25"/>
  <c r="D43" i="25"/>
  <c r="E43" i="25"/>
  <c r="F43" i="25"/>
  <c r="G43" i="25"/>
  <c r="H43" i="25"/>
  <c r="I43" i="25"/>
  <c r="C44" i="25"/>
  <c r="D44" i="25"/>
  <c r="E44" i="25"/>
  <c r="F44" i="25"/>
  <c r="G44" i="25"/>
  <c r="H44" i="25"/>
  <c r="I44" i="25"/>
  <c r="C45" i="25"/>
  <c r="D45" i="25"/>
  <c r="E45" i="25"/>
  <c r="F45" i="25"/>
  <c r="G45" i="25"/>
  <c r="H45" i="25"/>
  <c r="I45" i="25"/>
  <c r="C46" i="25"/>
  <c r="D46" i="25"/>
  <c r="E46" i="25"/>
  <c r="F46" i="25"/>
  <c r="G46" i="25"/>
  <c r="H46" i="25"/>
  <c r="I46" i="25"/>
  <c r="D39" i="25"/>
  <c r="E39" i="25"/>
  <c r="F39" i="25"/>
  <c r="G39" i="25"/>
  <c r="H39" i="25"/>
  <c r="I39" i="25"/>
  <c r="C39" i="25"/>
  <c r="W30" i="34"/>
  <c r="W31" i="34"/>
  <c r="W35" i="34"/>
  <c r="W36" i="34"/>
  <c r="D18" i="34"/>
  <c r="D30" i="34" s="1"/>
  <c r="E18" i="34"/>
  <c r="E30" i="34" s="1"/>
  <c r="F18" i="34"/>
  <c r="F30" i="34" s="1"/>
  <c r="G18" i="34"/>
  <c r="G30" i="34" s="1"/>
  <c r="H18" i="34"/>
  <c r="I18" i="34"/>
  <c r="J18" i="34"/>
  <c r="J30" i="34" s="1"/>
  <c r="K18" i="34"/>
  <c r="K30" i="34" s="1"/>
  <c r="L18" i="34"/>
  <c r="L30" i="34" s="1"/>
  <c r="M18" i="34"/>
  <c r="M30" i="34" s="1"/>
  <c r="N18" i="34"/>
  <c r="N30" i="34" s="1"/>
  <c r="O18" i="34"/>
  <c r="O30" i="34" s="1"/>
  <c r="P18" i="34"/>
  <c r="Q18" i="34"/>
  <c r="R18" i="34"/>
  <c r="R30" i="34" s="1"/>
  <c r="S18" i="34"/>
  <c r="S30" i="34" s="1"/>
  <c r="T18" i="34"/>
  <c r="T30" i="34" s="1"/>
  <c r="U18" i="34"/>
  <c r="U30" i="34" s="1"/>
  <c r="V18" i="34"/>
  <c r="V30" i="34" s="1"/>
  <c r="X18" i="34"/>
  <c r="Y18" i="34"/>
  <c r="Z18" i="34"/>
  <c r="Z30" i="34" s="1"/>
  <c r="AA18" i="34"/>
  <c r="AA30" i="34" s="1"/>
  <c r="AB18" i="34"/>
  <c r="AB30" i="34" s="1"/>
  <c r="D19" i="34"/>
  <c r="D31" i="34" s="1"/>
  <c r="E19" i="34"/>
  <c r="E31" i="34" s="1"/>
  <c r="F19" i="34"/>
  <c r="G19" i="34"/>
  <c r="G31" i="34" s="1"/>
  <c r="H19" i="34"/>
  <c r="H31" i="34" s="1"/>
  <c r="I19" i="34"/>
  <c r="I31" i="34" s="1"/>
  <c r="J19" i="34"/>
  <c r="J31" i="34" s="1"/>
  <c r="K19" i="34"/>
  <c r="K31" i="34" s="1"/>
  <c r="L19" i="34"/>
  <c r="L31" i="34" s="1"/>
  <c r="M19" i="34"/>
  <c r="M31" i="34"/>
  <c r="N19" i="34"/>
  <c r="O19" i="34"/>
  <c r="O31" i="34" s="1"/>
  <c r="P19" i="34"/>
  <c r="P31" i="34" s="1"/>
  <c r="Q19" i="34"/>
  <c r="Q31" i="34" s="1"/>
  <c r="R19" i="34"/>
  <c r="R31" i="34" s="1"/>
  <c r="S19" i="34"/>
  <c r="S31" i="34" s="1"/>
  <c r="T19" i="34"/>
  <c r="T31" i="34" s="1"/>
  <c r="U19" i="34"/>
  <c r="U31" i="34" s="1"/>
  <c r="V19" i="34"/>
  <c r="X19" i="34"/>
  <c r="X31" i="34" s="1"/>
  <c r="Y19" i="34"/>
  <c r="Y31" i="34" s="1"/>
  <c r="Z19" i="34"/>
  <c r="Z31" i="34" s="1"/>
  <c r="AA19" i="34"/>
  <c r="AA31" i="34"/>
  <c r="AB19" i="34"/>
  <c r="AB31" i="34" s="1"/>
  <c r="D20" i="34"/>
  <c r="D32" i="34" s="1"/>
  <c r="E20" i="34"/>
  <c r="E32" i="34" s="1"/>
  <c r="F20" i="34"/>
  <c r="F32" i="34"/>
  <c r="G20" i="34"/>
  <c r="G32" i="34" s="1"/>
  <c r="H20" i="34"/>
  <c r="H32" i="34" s="1"/>
  <c r="I20" i="34"/>
  <c r="I32" i="34" s="1"/>
  <c r="J20" i="34"/>
  <c r="J32" i="34"/>
  <c r="K20" i="34"/>
  <c r="K32" i="34" s="1"/>
  <c r="L20" i="34"/>
  <c r="L32" i="34" s="1"/>
  <c r="M20" i="34"/>
  <c r="M32" i="34" s="1"/>
  <c r="N20" i="34"/>
  <c r="N32" i="34" s="1"/>
  <c r="O20" i="34"/>
  <c r="O32" i="34" s="1"/>
  <c r="P20" i="34"/>
  <c r="P32" i="34" s="1"/>
  <c r="Q20" i="34"/>
  <c r="Q32" i="34" s="1"/>
  <c r="R20" i="34"/>
  <c r="R32" i="34" s="1"/>
  <c r="S20" i="34"/>
  <c r="S32" i="34" s="1"/>
  <c r="T20" i="34"/>
  <c r="U20" i="34"/>
  <c r="U32" i="34"/>
  <c r="V20" i="34"/>
  <c r="V32" i="34" s="1"/>
  <c r="W20" i="34"/>
  <c r="W32" i="34" s="1"/>
  <c r="X20" i="34"/>
  <c r="X32" i="34" s="1"/>
  <c r="AC32" i="34" s="1"/>
  <c r="Y20" i="34"/>
  <c r="Y32" i="34" s="1"/>
  <c r="Z20" i="34"/>
  <c r="Z32" i="34" s="1"/>
  <c r="AA20" i="34"/>
  <c r="AA32" i="34" s="1"/>
  <c r="AB20" i="34"/>
  <c r="AB32" i="34" s="1"/>
  <c r="D21" i="34"/>
  <c r="D33" i="34" s="1"/>
  <c r="E21" i="34"/>
  <c r="E33" i="34"/>
  <c r="F21" i="34"/>
  <c r="F33" i="34" s="1"/>
  <c r="G21" i="34"/>
  <c r="G33" i="34" s="1"/>
  <c r="H21" i="34"/>
  <c r="H33" i="34" s="1"/>
  <c r="I21" i="34"/>
  <c r="I33" i="34"/>
  <c r="J21" i="34"/>
  <c r="J33" i="34" s="1"/>
  <c r="K21" i="34"/>
  <c r="K33" i="34" s="1"/>
  <c r="L21" i="34"/>
  <c r="L33" i="34" s="1"/>
  <c r="M21" i="34"/>
  <c r="M33" i="34"/>
  <c r="N21" i="34"/>
  <c r="N33" i="34" s="1"/>
  <c r="O21" i="34"/>
  <c r="O33" i="34" s="1"/>
  <c r="P21" i="34"/>
  <c r="P33" i="34" s="1"/>
  <c r="Q21" i="34"/>
  <c r="Q33" i="34"/>
  <c r="R21" i="34"/>
  <c r="R33" i="34" s="1"/>
  <c r="S21" i="34"/>
  <c r="S33" i="34" s="1"/>
  <c r="T21" i="34"/>
  <c r="T33" i="34" s="1"/>
  <c r="U21" i="34"/>
  <c r="U33" i="34"/>
  <c r="V21" i="34"/>
  <c r="V33" i="34" s="1"/>
  <c r="W21" i="34"/>
  <c r="W33" i="34" s="1"/>
  <c r="X21" i="34"/>
  <c r="X33" i="34" s="1"/>
  <c r="Y21" i="34"/>
  <c r="Y33" i="34" s="1"/>
  <c r="Z21" i="34"/>
  <c r="Z33" i="34" s="1"/>
  <c r="AA21" i="34"/>
  <c r="AA33" i="34" s="1"/>
  <c r="AB21" i="34"/>
  <c r="D22" i="34"/>
  <c r="D34" i="34" s="1"/>
  <c r="E22" i="34"/>
  <c r="E34" i="34" s="1"/>
  <c r="F22" i="34"/>
  <c r="F34" i="34" s="1"/>
  <c r="G22" i="34"/>
  <c r="G34" i="34" s="1"/>
  <c r="H22" i="34"/>
  <c r="H34" i="34" s="1"/>
  <c r="I22" i="34"/>
  <c r="I34" i="34" s="1"/>
  <c r="J22" i="34"/>
  <c r="J34" i="34" s="1"/>
  <c r="K22" i="34"/>
  <c r="K34" i="34" s="1"/>
  <c r="L22" i="34"/>
  <c r="L34" i="34" s="1"/>
  <c r="M22" i="34"/>
  <c r="M34" i="34" s="1"/>
  <c r="N22" i="34"/>
  <c r="N34" i="34" s="1"/>
  <c r="O22" i="34"/>
  <c r="O34" i="34" s="1"/>
  <c r="P22" i="34"/>
  <c r="P34" i="34"/>
  <c r="Q22" i="34"/>
  <c r="Q34" i="34" s="1"/>
  <c r="R22" i="34"/>
  <c r="R34" i="34" s="1"/>
  <c r="S22" i="34"/>
  <c r="S34" i="34" s="1"/>
  <c r="T22" i="34"/>
  <c r="T34" i="34"/>
  <c r="U22" i="34"/>
  <c r="U34" i="34" s="1"/>
  <c r="V22" i="34"/>
  <c r="V34" i="34" s="1"/>
  <c r="W22" i="34"/>
  <c r="W34" i="34" s="1"/>
  <c r="X22" i="34"/>
  <c r="X34" i="34"/>
  <c r="Y22" i="34"/>
  <c r="Y34" i="34" s="1"/>
  <c r="Z22" i="34"/>
  <c r="Z34" i="34" s="1"/>
  <c r="AA22" i="34"/>
  <c r="AA34" i="34" s="1"/>
  <c r="AB22" i="34"/>
  <c r="AB34" i="34" s="1"/>
  <c r="D23" i="34"/>
  <c r="D35" i="34" s="1"/>
  <c r="E23" i="34"/>
  <c r="E35" i="34" s="1"/>
  <c r="F23" i="34"/>
  <c r="F35" i="34" s="1"/>
  <c r="G23" i="34"/>
  <c r="G35" i="34" s="1"/>
  <c r="H23" i="34"/>
  <c r="H35" i="34" s="1"/>
  <c r="I23" i="34"/>
  <c r="I35" i="34" s="1"/>
  <c r="J23" i="34"/>
  <c r="K23" i="34"/>
  <c r="K35" i="34" s="1"/>
  <c r="L23" i="34"/>
  <c r="L35" i="34" s="1"/>
  <c r="M23" i="34"/>
  <c r="M35" i="34" s="1"/>
  <c r="N23" i="34"/>
  <c r="N35" i="34" s="1"/>
  <c r="O23" i="34"/>
  <c r="O35" i="34" s="1"/>
  <c r="P23" i="34"/>
  <c r="P35" i="34" s="1"/>
  <c r="Q23" i="34"/>
  <c r="Q35" i="34" s="1"/>
  <c r="R23" i="34"/>
  <c r="R35" i="34" s="1"/>
  <c r="S23" i="34"/>
  <c r="T23" i="34"/>
  <c r="T35" i="34" s="1"/>
  <c r="U23" i="34"/>
  <c r="U35" i="34" s="1"/>
  <c r="V23" i="34"/>
  <c r="V35" i="34" s="1"/>
  <c r="X23" i="34"/>
  <c r="X35" i="34" s="1"/>
  <c r="Y23" i="34"/>
  <c r="Y35" i="34" s="1"/>
  <c r="Z23" i="34"/>
  <c r="Z35" i="34" s="1"/>
  <c r="AA23" i="34"/>
  <c r="AA35" i="34"/>
  <c r="AB23" i="34"/>
  <c r="AB35" i="34" s="1"/>
  <c r="D24" i="34"/>
  <c r="D36" i="34" s="1"/>
  <c r="E24" i="34"/>
  <c r="E36" i="34" s="1"/>
  <c r="F24" i="34"/>
  <c r="F36" i="34"/>
  <c r="G24" i="34"/>
  <c r="G36" i="34" s="1"/>
  <c r="H24" i="34"/>
  <c r="H36" i="34" s="1"/>
  <c r="I24" i="34"/>
  <c r="I36" i="34" s="1"/>
  <c r="J24" i="34"/>
  <c r="J36" i="34"/>
  <c r="K24" i="34"/>
  <c r="K36" i="34" s="1"/>
  <c r="L24" i="34"/>
  <c r="M24" i="34"/>
  <c r="M36" i="34" s="1"/>
  <c r="N24" i="34"/>
  <c r="N36" i="34"/>
  <c r="O24" i="34"/>
  <c r="O36" i="34" s="1"/>
  <c r="P24" i="34"/>
  <c r="P36" i="34" s="1"/>
  <c r="Q24" i="34"/>
  <c r="Q36" i="34" s="1"/>
  <c r="R24" i="34"/>
  <c r="R36" i="34" s="1"/>
  <c r="S24" i="34"/>
  <c r="S36" i="34" s="1"/>
  <c r="T24" i="34"/>
  <c r="T36" i="34" s="1"/>
  <c r="U24" i="34"/>
  <c r="U36" i="34" s="1"/>
  <c r="V24" i="34"/>
  <c r="V36" i="34" s="1"/>
  <c r="X24" i="34"/>
  <c r="Y24" i="34"/>
  <c r="Y36" i="34" s="1"/>
  <c r="Z24" i="34"/>
  <c r="Z36" i="34" s="1"/>
  <c r="AA24" i="34"/>
  <c r="AA36" i="34" s="1"/>
  <c r="AB24" i="34"/>
  <c r="AB36" i="34" s="1"/>
  <c r="D25" i="34"/>
  <c r="D37" i="34" s="1"/>
  <c r="E25" i="34"/>
  <c r="E37" i="34" s="1"/>
  <c r="F25" i="34"/>
  <c r="F37" i="34" s="1"/>
  <c r="G25" i="34"/>
  <c r="H25" i="34"/>
  <c r="H37" i="34" s="1"/>
  <c r="I25" i="34"/>
  <c r="I37" i="34" s="1"/>
  <c r="J25" i="34"/>
  <c r="J37" i="34" s="1"/>
  <c r="K25" i="34"/>
  <c r="K37" i="34" s="1"/>
  <c r="L25" i="34"/>
  <c r="L37" i="34" s="1"/>
  <c r="M25" i="34"/>
  <c r="M37" i="34" s="1"/>
  <c r="N25" i="34"/>
  <c r="N37" i="34" s="1"/>
  <c r="O25" i="34"/>
  <c r="O37" i="34" s="1"/>
  <c r="P25" i="34"/>
  <c r="P37" i="34"/>
  <c r="Q25" i="34"/>
  <c r="Q37" i="34" s="1"/>
  <c r="R25" i="34"/>
  <c r="R37" i="34" s="1"/>
  <c r="S25" i="34"/>
  <c r="S37" i="34" s="1"/>
  <c r="T25" i="34"/>
  <c r="T37" i="34"/>
  <c r="U25" i="34"/>
  <c r="U37" i="34" s="1"/>
  <c r="V25" i="34"/>
  <c r="V37" i="34" s="1"/>
  <c r="W25" i="34"/>
  <c r="W37" i="34" s="1"/>
  <c r="X25" i="34"/>
  <c r="X37" i="34"/>
  <c r="Y25" i="34"/>
  <c r="Y37" i="34" s="1"/>
  <c r="Z25" i="34"/>
  <c r="Z37" i="34" s="1"/>
  <c r="AA25" i="34"/>
  <c r="AA37" i="34" s="1"/>
  <c r="AB25" i="34"/>
  <c r="AB37" i="34"/>
  <c r="AC6" i="34"/>
  <c r="AC14" i="34" s="1"/>
  <c r="AD6" i="34"/>
  <c r="AC7" i="34"/>
  <c r="AD7" i="34"/>
  <c r="AC8" i="34"/>
  <c r="AD8" i="34"/>
  <c r="AC9" i="34"/>
  <c r="AD9" i="34"/>
  <c r="AC10" i="34"/>
  <c r="AD10" i="34"/>
  <c r="AC11" i="34"/>
  <c r="AD11" i="34"/>
  <c r="AC12" i="34"/>
  <c r="AD12" i="34"/>
  <c r="AC13" i="34"/>
  <c r="AD13" i="34"/>
  <c r="C14" i="34"/>
  <c r="D14" i="34"/>
  <c r="E14" i="34"/>
  <c r="F14" i="34"/>
  <c r="G14" i="34"/>
  <c r="H14" i="34"/>
  <c r="I14" i="34"/>
  <c r="J14" i="34"/>
  <c r="K14" i="34"/>
  <c r="L14" i="34"/>
  <c r="M14" i="34"/>
  <c r="N14" i="34"/>
  <c r="O14" i="34"/>
  <c r="P14" i="34"/>
  <c r="Q14" i="34"/>
  <c r="R14" i="34"/>
  <c r="S14" i="34"/>
  <c r="T14" i="34"/>
  <c r="U14" i="34"/>
  <c r="V14" i="34"/>
  <c r="W14" i="34"/>
  <c r="X14" i="34"/>
  <c r="Y14" i="34"/>
  <c r="Z14" i="34"/>
  <c r="AA14" i="34"/>
  <c r="AB14" i="34"/>
  <c r="W30" i="33"/>
  <c r="W31" i="33"/>
  <c r="W35" i="33"/>
  <c r="W36" i="33"/>
  <c r="D18" i="33"/>
  <c r="D30" i="33" s="1"/>
  <c r="E18" i="33"/>
  <c r="E30" i="33" s="1"/>
  <c r="F18" i="33"/>
  <c r="F30" i="33" s="1"/>
  <c r="G18" i="33"/>
  <c r="G30" i="33" s="1"/>
  <c r="H18" i="33"/>
  <c r="I18" i="33"/>
  <c r="I30" i="33" s="1"/>
  <c r="J18" i="33"/>
  <c r="J30" i="33" s="1"/>
  <c r="K18" i="33"/>
  <c r="L18" i="33"/>
  <c r="L30" i="33" s="1"/>
  <c r="M18" i="33"/>
  <c r="N18" i="33"/>
  <c r="N30" i="33" s="1"/>
  <c r="O18" i="33"/>
  <c r="O30" i="33" s="1"/>
  <c r="P18" i="33"/>
  <c r="P30" i="33" s="1"/>
  <c r="Q18" i="33"/>
  <c r="Q30" i="33" s="1"/>
  <c r="R18" i="33"/>
  <c r="R30" i="33" s="1"/>
  <c r="S18" i="33"/>
  <c r="T18" i="33"/>
  <c r="T30" i="33" s="1"/>
  <c r="U18" i="33"/>
  <c r="U30" i="33"/>
  <c r="V18" i="33"/>
  <c r="V30" i="33" s="1"/>
  <c r="X18" i="33"/>
  <c r="X30" i="33" s="1"/>
  <c r="AC30" i="33" s="1"/>
  <c r="Y18" i="33"/>
  <c r="Y30" i="33" s="1"/>
  <c r="Z18" i="33"/>
  <c r="Z30" i="33" s="1"/>
  <c r="AA18" i="33"/>
  <c r="AA30" i="33" s="1"/>
  <c r="AB18" i="33"/>
  <c r="AB30" i="33"/>
  <c r="D19" i="33"/>
  <c r="D31" i="33" s="1"/>
  <c r="E19" i="33"/>
  <c r="E31" i="33" s="1"/>
  <c r="F19" i="33"/>
  <c r="F31" i="33" s="1"/>
  <c r="G19" i="33"/>
  <c r="G31" i="33"/>
  <c r="H19" i="33"/>
  <c r="H31" i="33" s="1"/>
  <c r="I19" i="33"/>
  <c r="I31" i="33"/>
  <c r="J19" i="33"/>
  <c r="J31" i="33" s="1"/>
  <c r="K19" i="33"/>
  <c r="K31" i="33"/>
  <c r="L19" i="33"/>
  <c r="L31" i="33" s="1"/>
  <c r="M19" i="33"/>
  <c r="M31" i="33" s="1"/>
  <c r="N19" i="33"/>
  <c r="N31" i="33" s="1"/>
  <c r="O19" i="33"/>
  <c r="O31" i="33" s="1"/>
  <c r="P19" i="33"/>
  <c r="P31" i="33" s="1"/>
  <c r="Q19" i="33"/>
  <c r="Q31" i="33" s="1"/>
  <c r="R19" i="33"/>
  <c r="R31" i="33" s="1"/>
  <c r="S19" i="33"/>
  <c r="S31" i="33" s="1"/>
  <c r="T19" i="33"/>
  <c r="T31" i="33" s="1"/>
  <c r="U19" i="33"/>
  <c r="U31" i="33" s="1"/>
  <c r="V19" i="33"/>
  <c r="V31" i="33" s="1"/>
  <c r="X19" i="33"/>
  <c r="Y19" i="33"/>
  <c r="Y31" i="33" s="1"/>
  <c r="Z19" i="33"/>
  <c r="Z31" i="33" s="1"/>
  <c r="AA19" i="33"/>
  <c r="AA31" i="33" s="1"/>
  <c r="AB19" i="33"/>
  <c r="AB31" i="33" s="1"/>
  <c r="D20" i="33"/>
  <c r="D32" i="33" s="1"/>
  <c r="E20" i="33"/>
  <c r="E32" i="33"/>
  <c r="F20" i="33"/>
  <c r="F32" i="33" s="1"/>
  <c r="G20" i="33"/>
  <c r="G32" i="33" s="1"/>
  <c r="H20" i="33"/>
  <c r="H32" i="33" s="1"/>
  <c r="I20" i="33"/>
  <c r="I32" i="33"/>
  <c r="J20" i="33"/>
  <c r="J32" i="33" s="1"/>
  <c r="K20" i="33"/>
  <c r="K32" i="33" s="1"/>
  <c r="L20" i="33"/>
  <c r="L32" i="33"/>
  <c r="M20" i="33"/>
  <c r="M32" i="33" s="1"/>
  <c r="N20" i="33"/>
  <c r="N32" i="33" s="1"/>
  <c r="O20" i="33"/>
  <c r="O32" i="33" s="1"/>
  <c r="P20" i="33"/>
  <c r="P32" i="33" s="1"/>
  <c r="Q20" i="33"/>
  <c r="Q32" i="33"/>
  <c r="R20" i="33"/>
  <c r="S20" i="33"/>
  <c r="S32" i="33" s="1"/>
  <c r="T20" i="33"/>
  <c r="T32" i="33"/>
  <c r="U20" i="33"/>
  <c r="U32" i="33" s="1"/>
  <c r="V20" i="33"/>
  <c r="V32" i="33"/>
  <c r="W20" i="33"/>
  <c r="W32" i="33" s="1"/>
  <c r="X20" i="33"/>
  <c r="X32" i="33" s="1"/>
  <c r="Y20" i="33"/>
  <c r="Y32" i="33" s="1"/>
  <c r="Z20" i="33"/>
  <c r="Z32" i="33" s="1"/>
  <c r="AA20" i="33"/>
  <c r="AA32" i="33" s="1"/>
  <c r="AB20" i="33"/>
  <c r="AB32" i="33" s="1"/>
  <c r="D21" i="33"/>
  <c r="D33" i="33" s="1"/>
  <c r="E21" i="33"/>
  <c r="E33" i="33" s="1"/>
  <c r="F21" i="33"/>
  <c r="F33" i="33" s="1"/>
  <c r="G21" i="33"/>
  <c r="G33" i="33" s="1"/>
  <c r="H21" i="33"/>
  <c r="H33" i="33" s="1"/>
  <c r="I21" i="33"/>
  <c r="I33" i="33" s="1"/>
  <c r="J21" i="33"/>
  <c r="J33" i="33"/>
  <c r="K21" i="33"/>
  <c r="K33" i="33" s="1"/>
  <c r="L21" i="33"/>
  <c r="L33" i="33" s="1"/>
  <c r="M21" i="33"/>
  <c r="M33" i="33" s="1"/>
  <c r="N21" i="33"/>
  <c r="N33" i="33"/>
  <c r="O21" i="33"/>
  <c r="O33" i="33" s="1"/>
  <c r="P21" i="33"/>
  <c r="P33" i="33" s="1"/>
  <c r="Q21" i="33"/>
  <c r="Q33" i="33" s="1"/>
  <c r="R21" i="33"/>
  <c r="R33" i="33"/>
  <c r="S21" i="33"/>
  <c r="S33" i="33" s="1"/>
  <c r="T21" i="33"/>
  <c r="T33" i="33" s="1"/>
  <c r="U21" i="33"/>
  <c r="U33" i="33" s="1"/>
  <c r="V21" i="33"/>
  <c r="V33" i="33" s="1"/>
  <c r="W21" i="33"/>
  <c r="W33" i="33" s="1"/>
  <c r="X21" i="33"/>
  <c r="Y21" i="33"/>
  <c r="Y33" i="33" s="1"/>
  <c r="Z21" i="33"/>
  <c r="Z33" i="33"/>
  <c r="AA21" i="33"/>
  <c r="AA33" i="33" s="1"/>
  <c r="AB21" i="33"/>
  <c r="AB33" i="33" s="1"/>
  <c r="D22" i="33"/>
  <c r="E22" i="33"/>
  <c r="E34" i="33"/>
  <c r="F22" i="33"/>
  <c r="F34" i="33" s="1"/>
  <c r="G22" i="33"/>
  <c r="G34" i="33" s="1"/>
  <c r="H22" i="33"/>
  <c r="H34" i="33" s="1"/>
  <c r="I22" i="33"/>
  <c r="I34" i="33" s="1"/>
  <c r="J22" i="33"/>
  <c r="J34" i="33" s="1"/>
  <c r="K22" i="33"/>
  <c r="K34" i="33" s="1"/>
  <c r="L22" i="33"/>
  <c r="L34" i="33" s="1"/>
  <c r="M22" i="33"/>
  <c r="M34" i="33" s="1"/>
  <c r="N22" i="33"/>
  <c r="N34" i="33" s="1"/>
  <c r="O22" i="33"/>
  <c r="O34" i="33" s="1"/>
  <c r="P22" i="33"/>
  <c r="P34" i="33" s="1"/>
  <c r="Q22" i="33"/>
  <c r="Q34" i="33"/>
  <c r="R22" i="33"/>
  <c r="R34" i="33" s="1"/>
  <c r="S22" i="33"/>
  <c r="T22" i="33"/>
  <c r="T34" i="33" s="1"/>
  <c r="U22" i="33"/>
  <c r="U34" i="33" s="1"/>
  <c r="V22" i="33"/>
  <c r="V34" i="33" s="1"/>
  <c r="W22" i="33"/>
  <c r="W34" i="33"/>
  <c r="X22" i="33"/>
  <c r="X34" i="33" s="1"/>
  <c r="AC34" i="33" s="1"/>
  <c r="Y22" i="33"/>
  <c r="Y34" i="33"/>
  <c r="Z22" i="33"/>
  <c r="Z34" i="33" s="1"/>
  <c r="AA22" i="33"/>
  <c r="AA34" i="33" s="1"/>
  <c r="AB22" i="33"/>
  <c r="AB34" i="33" s="1"/>
  <c r="D23" i="33"/>
  <c r="D35" i="33"/>
  <c r="E23" i="33"/>
  <c r="E35" i="33" s="1"/>
  <c r="F23" i="33"/>
  <c r="F35" i="33"/>
  <c r="G23" i="33"/>
  <c r="G35" i="33" s="1"/>
  <c r="H23" i="33"/>
  <c r="H35" i="33"/>
  <c r="I23" i="33"/>
  <c r="I35" i="33" s="1"/>
  <c r="J23" i="33"/>
  <c r="J35" i="33" s="1"/>
  <c r="K23" i="33"/>
  <c r="K35" i="33" s="1"/>
  <c r="L23" i="33"/>
  <c r="M23" i="33"/>
  <c r="M35" i="33" s="1"/>
  <c r="N23" i="33"/>
  <c r="N35" i="33" s="1"/>
  <c r="O23" i="33"/>
  <c r="O35" i="33"/>
  <c r="P23" i="33"/>
  <c r="P35" i="33" s="1"/>
  <c r="Q23" i="33"/>
  <c r="Q35" i="33" s="1"/>
  <c r="R23" i="33"/>
  <c r="R35" i="33" s="1"/>
  <c r="S23" i="33"/>
  <c r="S35" i="33" s="1"/>
  <c r="T23" i="33"/>
  <c r="T35" i="33" s="1"/>
  <c r="U23" i="33"/>
  <c r="V23" i="33"/>
  <c r="V35" i="33" s="1"/>
  <c r="X23" i="33"/>
  <c r="X35" i="33" s="1"/>
  <c r="AD35" i="33" s="1"/>
  <c r="Y23" i="33"/>
  <c r="Y35" i="33"/>
  <c r="Z23" i="33"/>
  <c r="Z35" i="33" s="1"/>
  <c r="AA23" i="33"/>
  <c r="AA35" i="33" s="1"/>
  <c r="AB23" i="33"/>
  <c r="AB35" i="33" s="1"/>
  <c r="D24" i="33"/>
  <c r="D36" i="33" s="1"/>
  <c r="E24" i="33"/>
  <c r="E36" i="33" s="1"/>
  <c r="F24" i="33"/>
  <c r="F36" i="33"/>
  <c r="G24" i="33"/>
  <c r="G36" i="33" s="1"/>
  <c r="H24" i="33"/>
  <c r="H36" i="33" s="1"/>
  <c r="I24" i="33"/>
  <c r="I36" i="33" s="1"/>
  <c r="J24" i="33"/>
  <c r="J36" i="33" s="1"/>
  <c r="K24" i="33"/>
  <c r="L24" i="33"/>
  <c r="L36" i="33" s="1"/>
  <c r="M24" i="33"/>
  <c r="M36" i="33" s="1"/>
  <c r="N24" i="33"/>
  <c r="N36" i="33" s="1"/>
  <c r="O24" i="33"/>
  <c r="P24" i="33"/>
  <c r="P36" i="33" s="1"/>
  <c r="Q24" i="33"/>
  <c r="Q36" i="33" s="1"/>
  <c r="R24" i="33"/>
  <c r="R36" i="33" s="1"/>
  <c r="S24" i="33"/>
  <c r="T24" i="33"/>
  <c r="T36" i="33" s="1"/>
  <c r="U24" i="33"/>
  <c r="U36" i="33" s="1"/>
  <c r="V24" i="33"/>
  <c r="V36" i="33" s="1"/>
  <c r="X24" i="33"/>
  <c r="Y24" i="33"/>
  <c r="Y36" i="33" s="1"/>
  <c r="Z24" i="33"/>
  <c r="Z36" i="33" s="1"/>
  <c r="AA24" i="33"/>
  <c r="AA36" i="33" s="1"/>
  <c r="AB24" i="33"/>
  <c r="AB36" i="33" s="1"/>
  <c r="D25" i="33"/>
  <c r="D37" i="33" s="1"/>
  <c r="E25" i="33"/>
  <c r="E37" i="33" s="1"/>
  <c r="F25" i="33"/>
  <c r="F37" i="33" s="1"/>
  <c r="G25" i="33"/>
  <c r="H25" i="33"/>
  <c r="H37" i="33" s="1"/>
  <c r="I25" i="33"/>
  <c r="I37" i="33" s="1"/>
  <c r="J25" i="33"/>
  <c r="J37" i="33" s="1"/>
  <c r="K25" i="33"/>
  <c r="K37" i="33" s="1"/>
  <c r="L25" i="33"/>
  <c r="L37" i="33" s="1"/>
  <c r="M25" i="33"/>
  <c r="M37" i="33" s="1"/>
  <c r="N25" i="33"/>
  <c r="N37" i="33" s="1"/>
  <c r="O25" i="33"/>
  <c r="O37" i="33" s="1"/>
  <c r="P25" i="33"/>
  <c r="P37" i="33" s="1"/>
  <c r="Q25" i="33"/>
  <c r="Q37" i="33" s="1"/>
  <c r="R25" i="33"/>
  <c r="R37" i="33" s="1"/>
  <c r="S25" i="33"/>
  <c r="S37" i="33" s="1"/>
  <c r="T25" i="33"/>
  <c r="T37" i="33" s="1"/>
  <c r="U25" i="33"/>
  <c r="U37" i="33" s="1"/>
  <c r="V25" i="33"/>
  <c r="V37" i="33" s="1"/>
  <c r="W25" i="33"/>
  <c r="X25" i="33"/>
  <c r="X37" i="33" s="1"/>
  <c r="AC37" i="33" s="1"/>
  <c r="Y25" i="33"/>
  <c r="Y37" i="33" s="1"/>
  <c r="Z25" i="33"/>
  <c r="Z37" i="33" s="1"/>
  <c r="AA25" i="33"/>
  <c r="AA37" i="33" s="1"/>
  <c r="AB25" i="33"/>
  <c r="AB37" i="33" s="1"/>
  <c r="AC6" i="33"/>
  <c r="AD6" i="33"/>
  <c r="AC7" i="33"/>
  <c r="AD7" i="33"/>
  <c r="AC8" i="33"/>
  <c r="AD8" i="33"/>
  <c r="AC9" i="33"/>
  <c r="AD9" i="33"/>
  <c r="AC10" i="33"/>
  <c r="AD10" i="33"/>
  <c r="AC11" i="33"/>
  <c r="AD11" i="33"/>
  <c r="AC12" i="33"/>
  <c r="AD12" i="33"/>
  <c r="AC13" i="33"/>
  <c r="AD13" i="33"/>
  <c r="C14" i="33"/>
  <c r="D14" i="33"/>
  <c r="E14" i="33"/>
  <c r="F14" i="33"/>
  <c r="G14" i="33"/>
  <c r="H14" i="33"/>
  <c r="I14" i="33"/>
  <c r="J14" i="33"/>
  <c r="K14" i="33"/>
  <c r="L14" i="33"/>
  <c r="M14" i="33"/>
  <c r="N14" i="33"/>
  <c r="O14" i="33"/>
  <c r="P14" i="33"/>
  <c r="Q14" i="33"/>
  <c r="R14" i="33"/>
  <c r="S14" i="33"/>
  <c r="T14" i="33"/>
  <c r="U14" i="33"/>
  <c r="V14" i="33"/>
  <c r="W14" i="33"/>
  <c r="X14" i="33"/>
  <c r="Y14" i="33"/>
  <c r="Z14" i="33"/>
  <c r="AA14" i="33"/>
  <c r="AB14" i="33"/>
  <c r="X23" i="32"/>
  <c r="X35" i="32" s="1"/>
  <c r="Y23" i="32"/>
  <c r="Z23" i="32"/>
  <c r="Z35" i="32" s="1"/>
  <c r="AA23" i="32"/>
  <c r="AA35" i="32"/>
  <c r="AB23" i="32"/>
  <c r="AB35" i="32"/>
  <c r="X24" i="32"/>
  <c r="X36" i="32" s="1"/>
  <c r="Y24" i="32"/>
  <c r="Y36" i="32" s="1"/>
  <c r="Z24" i="32"/>
  <c r="Z36" i="32"/>
  <c r="AA24" i="32"/>
  <c r="AA36" i="32" s="1"/>
  <c r="AB24" i="32"/>
  <c r="AB36" i="32"/>
  <c r="Z25" i="32"/>
  <c r="Z37" i="32" s="1"/>
  <c r="AA25" i="32"/>
  <c r="AA37" i="32"/>
  <c r="AB25" i="32"/>
  <c r="AB37" i="32"/>
  <c r="AD7" i="32"/>
  <c r="AD9" i="32"/>
  <c r="AE33" i="32" s="1"/>
  <c r="AD11" i="32"/>
  <c r="AD12" i="32"/>
  <c r="AE36" i="32" s="1"/>
  <c r="AD6" i="32"/>
  <c r="D18" i="32"/>
  <c r="D30" i="32" s="1"/>
  <c r="E18" i="32"/>
  <c r="F18" i="32"/>
  <c r="F30" i="32" s="1"/>
  <c r="G18" i="32"/>
  <c r="G30" i="32" s="1"/>
  <c r="H18" i="32"/>
  <c r="H30" i="32" s="1"/>
  <c r="I18" i="32"/>
  <c r="J18" i="32"/>
  <c r="J30" i="32" s="1"/>
  <c r="K18" i="32"/>
  <c r="K30" i="32" s="1"/>
  <c r="L18" i="32"/>
  <c r="L30" i="32" s="1"/>
  <c r="M18" i="32"/>
  <c r="N18" i="32"/>
  <c r="N30" i="32" s="1"/>
  <c r="O18" i="32"/>
  <c r="O30" i="32" s="1"/>
  <c r="P18" i="32"/>
  <c r="P30" i="32" s="1"/>
  <c r="Q18" i="32"/>
  <c r="R18" i="32"/>
  <c r="R30" i="32" s="1"/>
  <c r="S18" i="32"/>
  <c r="S30" i="32" s="1"/>
  <c r="T18" i="32"/>
  <c r="T30" i="32" s="1"/>
  <c r="U18" i="32"/>
  <c r="V18" i="32"/>
  <c r="V30" i="32" s="1"/>
  <c r="W30" i="32"/>
  <c r="X18" i="32"/>
  <c r="Y18" i="32"/>
  <c r="Y30" i="32" s="1"/>
  <c r="Z18" i="32"/>
  <c r="Z30" i="32" s="1"/>
  <c r="AA18" i="32"/>
  <c r="AA30" i="32" s="1"/>
  <c r="AB18" i="32"/>
  <c r="AB30" i="32" s="1"/>
  <c r="D19" i="32"/>
  <c r="D31" i="32" s="1"/>
  <c r="E19" i="32"/>
  <c r="E31" i="32" s="1"/>
  <c r="F19" i="32"/>
  <c r="F31" i="32" s="1"/>
  <c r="G19" i="32"/>
  <c r="G31" i="32" s="1"/>
  <c r="H19" i="32"/>
  <c r="H31" i="32" s="1"/>
  <c r="I19" i="32"/>
  <c r="I31" i="32" s="1"/>
  <c r="J19" i="32"/>
  <c r="J31" i="32" s="1"/>
  <c r="K19" i="32"/>
  <c r="K31" i="32" s="1"/>
  <c r="L19" i="32"/>
  <c r="L31" i="32" s="1"/>
  <c r="M19" i="32"/>
  <c r="M31" i="32" s="1"/>
  <c r="N19" i="32"/>
  <c r="N31" i="32" s="1"/>
  <c r="O19" i="32"/>
  <c r="O31" i="32" s="1"/>
  <c r="P19" i="32"/>
  <c r="P31" i="32" s="1"/>
  <c r="Q19" i="32"/>
  <c r="Q31" i="32" s="1"/>
  <c r="R19" i="32"/>
  <c r="R31" i="32" s="1"/>
  <c r="S19" i="32"/>
  <c r="T19" i="32"/>
  <c r="T31" i="32" s="1"/>
  <c r="U19" i="32"/>
  <c r="U31" i="32"/>
  <c r="V19" i="32"/>
  <c r="V31" i="32" s="1"/>
  <c r="W31" i="32"/>
  <c r="X19" i="32"/>
  <c r="X31" i="32" s="1"/>
  <c r="Y19" i="32"/>
  <c r="Y31" i="32" s="1"/>
  <c r="Z19" i="32"/>
  <c r="Z31" i="32" s="1"/>
  <c r="AA19" i="32"/>
  <c r="AA31" i="32" s="1"/>
  <c r="AB19" i="32"/>
  <c r="AB31" i="32" s="1"/>
  <c r="D20" i="32"/>
  <c r="D32" i="32" s="1"/>
  <c r="E20" i="32"/>
  <c r="E32" i="32" s="1"/>
  <c r="F20" i="32"/>
  <c r="F32" i="32" s="1"/>
  <c r="G20" i="32"/>
  <c r="G32" i="32" s="1"/>
  <c r="H20" i="32"/>
  <c r="H32" i="32" s="1"/>
  <c r="I20" i="32"/>
  <c r="I32" i="32" s="1"/>
  <c r="J20" i="32"/>
  <c r="J32" i="32" s="1"/>
  <c r="K20" i="32"/>
  <c r="K32" i="32" s="1"/>
  <c r="L20" i="32"/>
  <c r="L32" i="32" s="1"/>
  <c r="M20" i="32"/>
  <c r="M32" i="32" s="1"/>
  <c r="N20" i="32"/>
  <c r="N32" i="32" s="1"/>
  <c r="O20" i="32"/>
  <c r="O32" i="32" s="1"/>
  <c r="P20" i="32"/>
  <c r="P32" i="32" s="1"/>
  <c r="Q20" i="32"/>
  <c r="Q32" i="32" s="1"/>
  <c r="R20" i="32"/>
  <c r="S20" i="32"/>
  <c r="T20" i="32"/>
  <c r="T32" i="32" s="1"/>
  <c r="U20" i="32"/>
  <c r="U32" i="32" s="1"/>
  <c r="V20" i="32"/>
  <c r="W32" i="32"/>
  <c r="D21" i="32"/>
  <c r="D33" i="32" s="1"/>
  <c r="E21" i="32"/>
  <c r="E33" i="32"/>
  <c r="F21" i="32"/>
  <c r="F33" i="32" s="1"/>
  <c r="G21" i="32"/>
  <c r="G33" i="32" s="1"/>
  <c r="H21" i="32"/>
  <c r="H33" i="32"/>
  <c r="I21" i="32"/>
  <c r="I33" i="32" s="1"/>
  <c r="J21" i="32"/>
  <c r="J33" i="32"/>
  <c r="K21" i="32"/>
  <c r="K33" i="32" s="1"/>
  <c r="L21" i="32"/>
  <c r="L33" i="32"/>
  <c r="M21" i="32"/>
  <c r="M33" i="32" s="1"/>
  <c r="N21" i="32"/>
  <c r="N33" i="32"/>
  <c r="O21" i="32"/>
  <c r="O33" i="32" s="1"/>
  <c r="P21" i="32"/>
  <c r="P33" i="32" s="1"/>
  <c r="Q21" i="32"/>
  <c r="Q33" i="32"/>
  <c r="R21" i="32"/>
  <c r="R33" i="32" s="1"/>
  <c r="S21" i="32"/>
  <c r="S33" i="32" s="1"/>
  <c r="T21" i="32"/>
  <c r="T33" i="32" s="1"/>
  <c r="U21" i="32"/>
  <c r="U33" i="32"/>
  <c r="V21" i="32"/>
  <c r="V33" i="32" s="1"/>
  <c r="X21" i="32"/>
  <c r="X33" i="32" s="1"/>
  <c r="Y21" i="32"/>
  <c r="Y33" i="32"/>
  <c r="Z21" i="32"/>
  <c r="Z33" i="32" s="1"/>
  <c r="AC33" i="32" s="1"/>
  <c r="AA21" i="32"/>
  <c r="AA33" i="32"/>
  <c r="AB21" i="32"/>
  <c r="AB33" i="32" s="1"/>
  <c r="D22" i="32"/>
  <c r="D34" i="32"/>
  <c r="E22" i="32"/>
  <c r="E34" i="32" s="1"/>
  <c r="F22" i="32"/>
  <c r="F34" i="32"/>
  <c r="G22" i="32"/>
  <c r="G34" i="32" s="1"/>
  <c r="H22" i="32"/>
  <c r="H34" i="32" s="1"/>
  <c r="I22" i="32"/>
  <c r="I34" i="32"/>
  <c r="J22" i="32"/>
  <c r="J34" i="32" s="1"/>
  <c r="K22" i="32"/>
  <c r="K34" i="32" s="1"/>
  <c r="L22" i="32"/>
  <c r="L34" i="32" s="1"/>
  <c r="M22" i="32"/>
  <c r="M34" i="32"/>
  <c r="N22" i="32"/>
  <c r="N34" i="32" s="1"/>
  <c r="O22" i="32"/>
  <c r="O34" i="32" s="1"/>
  <c r="P22" i="32"/>
  <c r="P34" i="32"/>
  <c r="Q22" i="32"/>
  <c r="Q34" i="32" s="1"/>
  <c r="R22" i="32"/>
  <c r="R34" i="32"/>
  <c r="S22" i="32"/>
  <c r="S34" i="32" s="1"/>
  <c r="T22" i="32"/>
  <c r="U22" i="32"/>
  <c r="U34" i="32" s="1"/>
  <c r="V22" i="32"/>
  <c r="V34" i="32" s="1"/>
  <c r="W34" i="32"/>
  <c r="D23" i="32"/>
  <c r="D35" i="32" s="1"/>
  <c r="E23" i="32"/>
  <c r="E35" i="32"/>
  <c r="F23" i="32"/>
  <c r="F35" i="32" s="1"/>
  <c r="G23" i="32"/>
  <c r="G35" i="32"/>
  <c r="H23" i="32"/>
  <c r="H35" i="32" s="1"/>
  <c r="I23" i="32"/>
  <c r="J23" i="32"/>
  <c r="J35" i="32" s="1"/>
  <c r="K23" i="32"/>
  <c r="K35" i="32" s="1"/>
  <c r="L23" i="32"/>
  <c r="L35" i="32" s="1"/>
  <c r="M23" i="32"/>
  <c r="M35" i="32" s="1"/>
  <c r="N23" i="32"/>
  <c r="N35" i="32" s="1"/>
  <c r="O23" i="32"/>
  <c r="O35" i="32" s="1"/>
  <c r="P23" i="32"/>
  <c r="Q23" i="32"/>
  <c r="R23" i="32"/>
  <c r="R35" i="32"/>
  <c r="S23" i="32"/>
  <c r="T23" i="32"/>
  <c r="T35" i="32" s="1"/>
  <c r="U23" i="32"/>
  <c r="U35" i="32" s="1"/>
  <c r="V23" i="32"/>
  <c r="V35" i="32" s="1"/>
  <c r="W35" i="32"/>
  <c r="D24" i="32"/>
  <c r="D36" i="32"/>
  <c r="E24" i="32"/>
  <c r="E36" i="32" s="1"/>
  <c r="F24" i="32"/>
  <c r="G24" i="32"/>
  <c r="G36" i="32" s="1"/>
  <c r="H24" i="32"/>
  <c r="H36" i="32" s="1"/>
  <c r="I24" i="32"/>
  <c r="I36" i="32" s="1"/>
  <c r="J24" i="32"/>
  <c r="J36" i="32" s="1"/>
  <c r="K24" i="32"/>
  <c r="K36" i="32" s="1"/>
  <c r="L24" i="32"/>
  <c r="L36" i="32" s="1"/>
  <c r="M24" i="32"/>
  <c r="M36" i="32" s="1"/>
  <c r="N24" i="32"/>
  <c r="O24" i="32"/>
  <c r="O36" i="32" s="1"/>
  <c r="P24" i="32"/>
  <c r="P36" i="32" s="1"/>
  <c r="Q24" i="32"/>
  <c r="Q36" i="32"/>
  <c r="R24" i="32"/>
  <c r="R36" i="32" s="1"/>
  <c r="S24" i="32"/>
  <c r="S36" i="32" s="1"/>
  <c r="T24" i="32"/>
  <c r="T36" i="32"/>
  <c r="U24" i="32"/>
  <c r="U36" i="32" s="1"/>
  <c r="V24" i="32"/>
  <c r="W36" i="32"/>
  <c r="D25" i="32"/>
  <c r="D37" i="32" s="1"/>
  <c r="E25" i="32"/>
  <c r="E37" i="32"/>
  <c r="F25" i="32"/>
  <c r="F37" i="32" s="1"/>
  <c r="G25" i="32"/>
  <c r="G37" i="32"/>
  <c r="H25" i="32"/>
  <c r="H37" i="32" s="1"/>
  <c r="I25" i="32"/>
  <c r="I37" i="32" s="1"/>
  <c r="J25" i="32"/>
  <c r="J37" i="32"/>
  <c r="K25" i="32"/>
  <c r="K37" i="32" s="1"/>
  <c r="L25" i="32"/>
  <c r="L37" i="32" s="1"/>
  <c r="M25" i="32"/>
  <c r="M37" i="32" s="1"/>
  <c r="N25" i="32"/>
  <c r="N37" i="32"/>
  <c r="O25" i="32"/>
  <c r="O37" i="32" s="1"/>
  <c r="P25" i="32"/>
  <c r="P37" i="32" s="1"/>
  <c r="Q25" i="32"/>
  <c r="Q37" i="32"/>
  <c r="R25" i="32"/>
  <c r="R37" i="32" s="1"/>
  <c r="S25" i="32"/>
  <c r="T25" i="32"/>
  <c r="T37" i="32" s="1"/>
  <c r="U25" i="32"/>
  <c r="U37" i="32" s="1"/>
  <c r="V25" i="32"/>
  <c r="V37" i="32" s="1"/>
  <c r="W37" i="32"/>
  <c r="D14" i="32"/>
  <c r="E14" i="32"/>
  <c r="F14" i="32"/>
  <c r="G14" i="32"/>
  <c r="H14" i="32"/>
  <c r="I14" i="32"/>
  <c r="J14" i="32"/>
  <c r="K14" i="32"/>
  <c r="L14" i="32"/>
  <c r="M14" i="32"/>
  <c r="N14" i="32"/>
  <c r="O14" i="32"/>
  <c r="P14" i="32"/>
  <c r="Q14" i="32"/>
  <c r="R14" i="32"/>
  <c r="S14" i="32"/>
  <c r="T14" i="32"/>
  <c r="U14" i="32"/>
  <c r="V14" i="32"/>
  <c r="AC7" i="27"/>
  <c r="AD7" i="27"/>
  <c r="AC8" i="27"/>
  <c r="AD8" i="27"/>
  <c r="AC9" i="27"/>
  <c r="AD9" i="27"/>
  <c r="AC10" i="27"/>
  <c r="AD10" i="27"/>
  <c r="AC11" i="27"/>
  <c r="AD11" i="27"/>
  <c r="AC12" i="27"/>
  <c r="AD12" i="27"/>
  <c r="AC13" i="27"/>
  <c r="AD13" i="27"/>
  <c r="AC14" i="27"/>
  <c r="AD14" i="27"/>
  <c r="AD60" i="26"/>
  <c r="AC47" i="32" s="1"/>
  <c r="D35" i="25"/>
  <c r="E35" i="25"/>
  <c r="F35" i="25"/>
  <c r="G35" i="25"/>
  <c r="H35" i="25"/>
  <c r="I35" i="25"/>
  <c r="D36" i="25"/>
  <c r="E36" i="25"/>
  <c r="F36" i="25"/>
  <c r="G36" i="25"/>
  <c r="H36" i="25"/>
  <c r="I36" i="25"/>
  <c r="J36" i="25"/>
  <c r="D30" i="25"/>
  <c r="E30" i="25"/>
  <c r="F30" i="25"/>
  <c r="G30" i="25"/>
  <c r="H30" i="25"/>
  <c r="I30" i="25"/>
  <c r="AE60" i="26"/>
  <c r="AD47" i="32"/>
  <c r="AE55" i="26"/>
  <c r="AD42" i="32" s="1"/>
  <c r="X67" i="26"/>
  <c r="Y67" i="26"/>
  <c r="Z67" i="26"/>
  <c r="AA67" i="26"/>
  <c r="AB67" i="26"/>
  <c r="X72" i="26"/>
  <c r="Y72" i="26"/>
  <c r="Z72" i="26"/>
  <c r="AA72" i="26"/>
  <c r="AB72" i="26"/>
  <c r="X73" i="26"/>
  <c r="Y73" i="26"/>
  <c r="Z73" i="26"/>
  <c r="AA73" i="26"/>
  <c r="AA85" i="26" s="1"/>
  <c r="AB73" i="26"/>
  <c r="C13" i="29"/>
  <c r="D13" i="29"/>
  <c r="E13" i="29"/>
  <c r="F13" i="29"/>
  <c r="G13" i="29"/>
  <c r="H13" i="29"/>
  <c r="I13" i="29"/>
  <c r="I16" i="29" s="1"/>
  <c r="J13" i="29"/>
  <c r="K13" i="29"/>
  <c r="L13" i="29"/>
  <c r="M13" i="29"/>
  <c r="N13" i="29"/>
  <c r="O13" i="29"/>
  <c r="P13" i="29"/>
  <c r="Q13" i="29"/>
  <c r="R13" i="29"/>
  <c r="S13" i="29"/>
  <c r="T13" i="29"/>
  <c r="U13" i="29"/>
  <c r="V13" i="29"/>
  <c r="W13" i="29"/>
  <c r="C14" i="29"/>
  <c r="D14" i="29"/>
  <c r="E14" i="29"/>
  <c r="F14" i="29"/>
  <c r="G14" i="29"/>
  <c r="H14" i="29"/>
  <c r="I14" i="29"/>
  <c r="J14" i="29"/>
  <c r="K14" i="29"/>
  <c r="L14" i="29"/>
  <c r="M14" i="29"/>
  <c r="N14" i="29"/>
  <c r="O14" i="29"/>
  <c r="P14" i="29"/>
  <c r="Q14" i="29"/>
  <c r="R14" i="29"/>
  <c r="S14" i="29"/>
  <c r="T14" i="29"/>
  <c r="T21" i="29" s="1"/>
  <c r="U14" i="29"/>
  <c r="V14" i="29"/>
  <c r="W14" i="29"/>
  <c r="C15" i="29"/>
  <c r="D15" i="29"/>
  <c r="E15" i="29"/>
  <c r="F15" i="29"/>
  <c r="G15" i="29"/>
  <c r="H15" i="29"/>
  <c r="I22" i="29" s="1"/>
  <c r="I29" i="29" s="1"/>
  <c r="I15" i="29"/>
  <c r="J15" i="29"/>
  <c r="K15" i="29"/>
  <c r="E6" i="39" s="1"/>
  <c r="L15" i="29"/>
  <c r="F6" i="39" s="1"/>
  <c r="F29" i="39" s="1"/>
  <c r="F53" i="39" s="1"/>
  <c r="M15" i="29"/>
  <c r="N15" i="29"/>
  <c r="O15" i="29"/>
  <c r="O16" i="29" s="1"/>
  <c r="P15" i="29"/>
  <c r="J6" i="39" s="1"/>
  <c r="K29" i="39" s="1"/>
  <c r="K53" i="39" s="1"/>
  <c r="Q15" i="29"/>
  <c r="K6" i="39" s="1"/>
  <c r="C6" i="25" s="1"/>
  <c r="R15" i="29"/>
  <c r="S15" i="29"/>
  <c r="T15" i="29"/>
  <c r="N6" i="39" s="1"/>
  <c r="F6" i="25" s="1"/>
  <c r="U15" i="29"/>
  <c r="O6" i="39" s="1"/>
  <c r="V15" i="29"/>
  <c r="P6" i="39" s="1"/>
  <c r="W15" i="29"/>
  <c r="C9" i="29"/>
  <c r="D9" i="29"/>
  <c r="E9" i="29"/>
  <c r="F9" i="29"/>
  <c r="G9" i="29"/>
  <c r="H9" i="29"/>
  <c r="I9" i="29"/>
  <c r="J9" i="29"/>
  <c r="K9" i="29"/>
  <c r="L9" i="29"/>
  <c r="M9" i="29"/>
  <c r="N9" i="29"/>
  <c r="O9" i="29"/>
  <c r="P9" i="29"/>
  <c r="Q9" i="29"/>
  <c r="R9" i="29"/>
  <c r="S9" i="29"/>
  <c r="T9" i="29"/>
  <c r="U9" i="29"/>
  <c r="V9" i="29"/>
  <c r="W9" i="29"/>
  <c r="C13" i="28"/>
  <c r="D13" i="28"/>
  <c r="D20" i="28" s="1"/>
  <c r="E13" i="28"/>
  <c r="F13" i="28"/>
  <c r="G13" i="28"/>
  <c r="H13" i="28"/>
  <c r="I13" i="28"/>
  <c r="J13" i="28"/>
  <c r="K13" i="28"/>
  <c r="L13" i="28"/>
  <c r="L20" i="28" s="1"/>
  <c r="L27" i="28" s="1"/>
  <c r="M13" i="28"/>
  <c r="N20" i="28" s="1"/>
  <c r="N27" i="28" s="1"/>
  <c r="N13" i="28"/>
  <c r="O13" i="28"/>
  <c r="P13" i="28"/>
  <c r="P20" i="28" s="1"/>
  <c r="Q13" i="28"/>
  <c r="R13" i="28"/>
  <c r="S13" i="28"/>
  <c r="T13" i="28"/>
  <c r="T20" i="28" s="1"/>
  <c r="T27" i="28" s="1"/>
  <c r="U13" i="28"/>
  <c r="U16" i="28" s="1"/>
  <c r="V13" i="28"/>
  <c r="W13" i="28"/>
  <c r="C14" i="28"/>
  <c r="D14" i="28"/>
  <c r="E14" i="28"/>
  <c r="F21" i="28" s="1"/>
  <c r="F14" i="28"/>
  <c r="G14" i="28"/>
  <c r="H14" i="28"/>
  <c r="I14" i="28"/>
  <c r="J14" i="28"/>
  <c r="K14" i="28"/>
  <c r="L14" i="28"/>
  <c r="M14" i="28"/>
  <c r="N14" i="28"/>
  <c r="O14" i="28"/>
  <c r="P21" i="28" s="1"/>
  <c r="P28" i="28" s="1"/>
  <c r="P14" i="28"/>
  <c r="Q14" i="28"/>
  <c r="R14" i="28"/>
  <c r="S14" i="28"/>
  <c r="S21" i="28" s="1"/>
  <c r="S28" i="28" s="1"/>
  <c r="T14" i="28"/>
  <c r="U14" i="28"/>
  <c r="V14" i="28"/>
  <c r="W14" i="28"/>
  <c r="C15" i="28"/>
  <c r="D22" i="28" s="1"/>
  <c r="D29" i="28" s="1"/>
  <c r="D15" i="28"/>
  <c r="E15" i="28"/>
  <c r="F15" i="28"/>
  <c r="G15" i="28"/>
  <c r="H15" i="28"/>
  <c r="I15" i="28"/>
  <c r="J15" i="28"/>
  <c r="K15" i="28"/>
  <c r="E6" i="37" s="1"/>
  <c r="L15" i="28"/>
  <c r="M15" i="28"/>
  <c r="N15" i="28"/>
  <c r="O15" i="28"/>
  <c r="P15" i="28"/>
  <c r="Q15" i="28"/>
  <c r="R15" i="28"/>
  <c r="S15" i="28"/>
  <c r="M6" i="37" s="1"/>
  <c r="T15" i="28"/>
  <c r="U15" i="28"/>
  <c r="V15" i="28"/>
  <c r="W15" i="28"/>
  <c r="C9" i="28"/>
  <c r="D9" i="28"/>
  <c r="E9" i="28"/>
  <c r="F9" i="28"/>
  <c r="G9" i="28"/>
  <c r="H9" i="28"/>
  <c r="I9" i="28"/>
  <c r="J9" i="28"/>
  <c r="K9" i="28"/>
  <c r="L9" i="28"/>
  <c r="M9" i="28"/>
  <c r="N9" i="28"/>
  <c r="O9" i="28"/>
  <c r="P9" i="28"/>
  <c r="Q9" i="28"/>
  <c r="R9" i="28"/>
  <c r="S9" i="28"/>
  <c r="T9" i="28"/>
  <c r="U9" i="28"/>
  <c r="V9" i="28"/>
  <c r="W9" i="28"/>
  <c r="C20" i="27"/>
  <c r="D20" i="27"/>
  <c r="E20" i="27"/>
  <c r="F20" i="27"/>
  <c r="G20" i="27"/>
  <c r="H20" i="27"/>
  <c r="I20" i="27"/>
  <c r="J20" i="27"/>
  <c r="K20" i="27"/>
  <c r="L20" i="27"/>
  <c r="M20" i="27"/>
  <c r="N20" i="27"/>
  <c r="O20" i="27"/>
  <c r="P20" i="27"/>
  <c r="Q20" i="27"/>
  <c r="R20" i="27"/>
  <c r="S20" i="27"/>
  <c r="T20" i="27"/>
  <c r="U20" i="27"/>
  <c r="V20" i="27"/>
  <c r="W20" i="27"/>
  <c r="X20" i="27"/>
  <c r="Y20" i="27"/>
  <c r="Z20" i="27"/>
  <c r="AA20" i="27"/>
  <c r="AB20" i="27"/>
  <c r="C25" i="27"/>
  <c r="D25" i="27"/>
  <c r="E25" i="27"/>
  <c r="F25" i="27"/>
  <c r="G25" i="27"/>
  <c r="H25" i="27"/>
  <c r="I25" i="27"/>
  <c r="J25" i="27"/>
  <c r="K25" i="27"/>
  <c r="L25" i="27"/>
  <c r="M25" i="27"/>
  <c r="N25" i="27"/>
  <c r="O25" i="27"/>
  <c r="P25" i="27"/>
  <c r="Q25" i="27"/>
  <c r="R25" i="27"/>
  <c r="S25" i="27"/>
  <c r="T25" i="27"/>
  <c r="U25" i="27"/>
  <c r="V25" i="27"/>
  <c r="W25" i="27"/>
  <c r="X25" i="27"/>
  <c r="Y25" i="27"/>
  <c r="Z25" i="27"/>
  <c r="Z97" i="27" s="1"/>
  <c r="AA25" i="27"/>
  <c r="AA97" i="27"/>
  <c r="AB25" i="27"/>
  <c r="AB97" i="27" s="1"/>
  <c r="C24" i="27"/>
  <c r="D24" i="27"/>
  <c r="E24" i="27"/>
  <c r="F24" i="27"/>
  <c r="G24" i="27"/>
  <c r="H24" i="27"/>
  <c r="I24" i="27"/>
  <c r="J24" i="27"/>
  <c r="K24" i="27"/>
  <c r="L24" i="27"/>
  <c r="M24" i="27"/>
  <c r="N24" i="27"/>
  <c r="O24" i="27"/>
  <c r="P24" i="27"/>
  <c r="Q24" i="27"/>
  <c r="R24" i="27"/>
  <c r="S24" i="27"/>
  <c r="T24" i="27"/>
  <c r="U24" i="27"/>
  <c r="V24" i="27"/>
  <c r="W24" i="27"/>
  <c r="W96" i="27"/>
  <c r="X24" i="27"/>
  <c r="X96" i="27" s="1"/>
  <c r="Y24" i="27"/>
  <c r="Y96" i="27" s="1"/>
  <c r="Z24" i="27"/>
  <c r="Z96" i="27"/>
  <c r="AA24" i="27"/>
  <c r="AA96" i="27" s="1"/>
  <c r="AB24" i="27"/>
  <c r="AB96" i="27" s="1"/>
  <c r="C22" i="27"/>
  <c r="D22" i="27"/>
  <c r="E22" i="27"/>
  <c r="F22" i="27"/>
  <c r="G22" i="27"/>
  <c r="H22" i="27"/>
  <c r="I22" i="27"/>
  <c r="J22" i="27"/>
  <c r="K22" i="27"/>
  <c r="L22" i="27"/>
  <c r="M22" i="27"/>
  <c r="N22" i="27"/>
  <c r="O22" i="27"/>
  <c r="P22" i="27"/>
  <c r="Q22" i="27"/>
  <c r="R22" i="27"/>
  <c r="S22" i="27"/>
  <c r="T22" i="27"/>
  <c r="U22" i="27"/>
  <c r="V22" i="27"/>
  <c r="W22" i="27"/>
  <c r="X22" i="27"/>
  <c r="Y22" i="27"/>
  <c r="Z22" i="27"/>
  <c r="AA22" i="27"/>
  <c r="AB22" i="27"/>
  <c r="C26" i="27"/>
  <c r="D26" i="27"/>
  <c r="E26" i="27"/>
  <c r="F26" i="27"/>
  <c r="G26" i="27"/>
  <c r="H26" i="27"/>
  <c r="I26" i="27"/>
  <c r="J26" i="27"/>
  <c r="K26" i="27"/>
  <c r="L26" i="27"/>
  <c r="M26" i="27"/>
  <c r="N26" i="27"/>
  <c r="O26" i="27"/>
  <c r="P26" i="27"/>
  <c r="Q26" i="27"/>
  <c r="R26" i="27"/>
  <c r="S26" i="27"/>
  <c r="T26" i="27"/>
  <c r="U26" i="27"/>
  <c r="V26" i="27"/>
  <c r="W26" i="27"/>
  <c r="X26" i="27"/>
  <c r="Y26" i="27"/>
  <c r="Y98" i="27" s="1"/>
  <c r="AE98" i="27" s="1"/>
  <c r="W98" i="27" s="1"/>
  <c r="Z26" i="27"/>
  <c r="Z98" i="27" s="1"/>
  <c r="AA26" i="27"/>
  <c r="AA98" i="27" s="1"/>
  <c r="AB26" i="27"/>
  <c r="AB98" i="27" s="1"/>
  <c r="E19" i="27"/>
  <c r="U19" i="27"/>
  <c r="C23" i="27"/>
  <c r="D23" i="27"/>
  <c r="E23" i="27"/>
  <c r="F23" i="27"/>
  <c r="G23" i="27"/>
  <c r="H23" i="27"/>
  <c r="I23" i="27"/>
  <c r="J23" i="27"/>
  <c r="K23" i="27"/>
  <c r="L23" i="27"/>
  <c r="M23" i="27"/>
  <c r="N23" i="27"/>
  <c r="O23" i="27"/>
  <c r="P23" i="27"/>
  <c r="Q23" i="27"/>
  <c r="R23" i="27"/>
  <c r="S23" i="27"/>
  <c r="AC23" i="27" s="1"/>
  <c r="T23" i="27"/>
  <c r="U23" i="27"/>
  <c r="V23" i="27"/>
  <c r="W23" i="27"/>
  <c r="X23" i="27"/>
  <c r="Y23" i="27"/>
  <c r="Z23" i="27"/>
  <c r="AA23" i="27"/>
  <c r="AB23" i="27"/>
  <c r="C21" i="27"/>
  <c r="D21" i="27"/>
  <c r="E21" i="27"/>
  <c r="F21" i="27"/>
  <c r="G21" i="27"/>
  <c r="H21" i="27"/>
  <c r="I21" i="27"/>
  <c r="J21" i="27"/>
  <c r="K21" i="27"/>
  <c r="L21" i="27"/>
  <c r="M21" i="27"/>
  <c r="N21" i="27"/>
  <c r="O21" i="27"/>
  <c r="P21" i="27"/>
  <c r="Q21" i="27"/>
  <c r="R21" i="27"/>
  <c r="S21" i="27"/>
  <c r="T21" i="27"/>
  <c r="U21" i="27"/>
  <c r="V21" i="27"/>
  <c r="W21" i="27"/>
  <c r="X21" i="27"/>
  <c r="Y21" i="27"/>
  <c r="Z21" i="27"/>
  <c r="AA21" i="27"/>
  <c r="AB21" i="27"/>
  <c r="C15" i="27"/>
  <c r="C19" i="27"/>
  <c r="D15" i="27"/>
  <c r="D19" i="27"/>
  <c r="E15" i="27"/>
  <c r="F15" i="27"/>
  <c r="F19" i="27"/>
  <c r="G15" i="27"/>
  <c r="G19" i="27"/>
  <c r="H15" i="27"/>
  <c r="H19" i="27"/>
  <c r="I15" i="27"/>
  <c r="I19" i="27"/>
  <c r="J15" i="27"/>
  <c r="J19" i="27"/>
  <c r="K15" i="27"/>
  <c r="K19" i="27"/>
  <c r="L15" i="27"/>
  <c r="L19" i="27"/>
  <c r="M15" i="27"/>
  <c r="M19" i="27"/>
  <c r="N15" i="27"/>
  <c r="N19" i="27"/>
  <c r="O15" i="27"/>
  <c r="O19" i="27"/>
  <c r="P15" i="27"/>
  <c r="P19" i="27"/>
  <c r="Q15" i="27"/>
  <c r="Q19" i="27"/>
  <c r="R15" i="27"/>
  <c r="R19" i="27"/>
  <c r="S15" i="27"/>
  <c r="S19" i="27"/>
  <c r="T15" i="27"/>
  <c r="T19" i="27"/>
  <c r="U15" i="27"/>
  <c r="V15" i="27"/>
  <c r="V19" i="27"/>
  <c r="W15" i="27"/>
  <c r="W19" i="27"/>
  <c r="W91" i="27"/>
  <c r="X15" i="27"/>
  <c r="X19" i="27"/>
  <c r="X91" i="27" s="1"/>
  <c r="Y15" i="27"/>
  <c r="Y19" i="27"/>
  <c r="Y91" i="27" s="1"/>
  <c r="Z15" i="27"/>
  <c r="Z19" i="27"/>
  <c r="Z91" i="27" s="1"/>
  <c r="AA15" i="27"/>
  <c r="AA19" i="27"/>
  <c r="AA91" i="27" s="1"/>
  <c r="AB15" i="27"/>
  <c r="AB19" i="27"/>
  <c r="AB91" i="27" s="1"/>
  <c r="C19" i="26"/>
  <c r="D19" i="26"/>
  <c r="E19" i="26"/>
  <c r="F19" i="26"/>
  <c r="G19" i="26"/>
  <c r="H19" i="26"/>
  <c r="I19" i="26"/>
  <c r="J19" i="26"/>
  <c r="K19" i="26"/>
  <c r="L31" i="26" s="1"/>
  <c r="L19" i="26"/>
  <c r="M19" i="26"/>
  <c r="N19" i="26"/>
  <c r="O19" i="26"/>
  <c r="P19" i="26"/>
  <c r="Q19" i="26"/>
  <c r="R19" i="26"/>
  <c r="S19" i="26"/>
  <c r="T19" i="26"/>
  <c r="U19" i="26"/>
  <c r="V19" i="26"/>
  <c r="W19" i="26"/>
  <c r="X19" i="26"/>
  <c r="X91" i="26" s="1"/>
  <c r="Y19" i="26"/>
  <c r="Y91" i="26" s="1"/>
  <c r="Z19" i="26"/>
  <c r="Z91" i="26" s="1"/>
  <c r="AA19" i="26"/>
  <c r="AA91" i="26"/>
  <c r="AB19" i="26"/>
  <c r="AB91" i="26" s="1"/>
  <c r="C20" i="26"/>
  <c r="D20" i="26"/>
  <c r="E20" i="26"/>
  <c r="F20" i="26"/>
  <c r="G20" i="26"/>
  <c r="H20" i="26"/>
  <c r="I20" i="26"/>
  <c r="J20" i="26"/>
  <c r="K20" i="26"/>
  <c r="L20" i="26"/>
  <c r="M32" i="26" s="1"/>
  <c r="M44" i="26" s="1"/>
  <c r="M20" i="26"/>
  <c r="N20" i="26"/>
  <c r="O20" i="26"/>
  <c r="P20" i="26"/>
  <c r="Q20" i="26"/>
  <c r="R20" i="26"/>
  <c r="S20" i="26"/>
  <c r="T20" i="26"/>
  <c r="U20" i="26"/>
  <c r="V20" i="26"/>
  <c r="W20" i="26"/>
  <c r="X20" i="26"/>
  <c r="Y20" i="26"/>
  <c r="Z20" i="26"/>
  <c r="AA20" i="26"/>
  <c r="AB20" i="26"/>
  <c r="C21" i="26"/>
  <c r="D21" i="26"/>
  <c r="E21" i="26"/>
  <c r="F21" i="26"/>
  <c r="G21" i="26"/>
  <c r="H21" i="26"/>
  <c r="I21" i="26"/>
  <c r="J21" i="26"/>
  <c r="K21" i="26"/>
  <c r="L21" i="26"/>
  <c r="M21" i="26"/>
  <c r="N21" i="26"/>
  <c r="O21" i="26"/>
  <c r="P21" i="26"/>
  <c r="Q21" i="26"/>
  <c r="R21" i="26"/>
  <c r="S33" i="26" s="1"/>
  <c r="S21" i="26"/>
  <c r="T21" i="26"/>
  <c r="U21" i="26"/>
  <c r="V21" i="26"/>
  <c r="W21" i="26"/>
  <c r="X21" i="26"/>
  <c r="Y21" i="26"/>
  <c r="Z21" i="26"/>
  <c r="AA33" i="26" s="1"/>
  <c r="AA21" i="26"/>
  <c r="AB21" i="26"/>
  <c r="C22" i="26"/>
  <c r="D22" i="26"/>
  <c r="E22" i="26"/>
  <c r="F22" i="26"/>
  <c r="G22" i="26"/>
  <c r="H22" i="26"/>
  <c r="I22" i="26"/>
  <c r="J22" i="26"/>
  <c r="K22" i="26"/>
  <c r="L22" i="26"/>
  <c r="M22" i="26"/>
  <c r="N22" i="26"/>
  <c r="O22" i="26"/>
  <c r="P22" i="26"/>
  <c r="Q22" i="26"/>
  <c r="R22" i="26"/>
  <c r="S22" i="26"/>
  <c r="T22" i="26"/>
  <c r="U22" i="26"/>
  <c r="V22" i="26"/>
  <c r="W22" i="26"/>
  <c r="W94" i="26"/>
  <c r="X22" i="26"/>
  <c r="X94" i="26" s="1"/>
  <c r="Y22" i="26"/>
  <c r="Y94" i="26" s="1"/>
  <c r="Z22" i="26"/>
  <c r="Z94" i="26"/>
  <c r="AA22" i="26"/>
  <c r="AA94" i="26" s="1"/>
  <c r="AB22" i="26"/>
  <c r="AB94" i="26" s="1"/>
  <c r="C23" i="26"/>
  <c r="D23" i="26"/>
  <c r="E23" i="26"/>
  <c r="F23" i="26"/>
  <c r="G23" i="26"/>
  <c r="H23" i="26"/>
  <c r="I23" i="26"/>
  <c r="J23" i="26"/>
  <c r="K23" i="26"/>
  <c r="L23" i="26"/>
  <c r="M23" i="26"/>
  <c r="N23" i="26"/>
  <c r="O23" i="26"/>
  <c r="P23" i="26"/>
  <c r="Q23" i="26"/>
  <c r="R23" i="26"/>
  <c r="S23" i="26"/>
  <c r="T23" i="26"/>
  <c r="U23" i="26"/>
  <c r="V23" i="26"/>
  <c r="W23" i="26"/>
  <c r="X23" i="26"/>
  <c r="Y23" i="26"/>
  <c r="Z23" i="26"/>
  <c r="AA23" i="26"/>
  <c r="AB23" i="26"/>
  <c r="C24" i="26"/>
  <c r="D24" i="26"/>
  <c r="E24" i="26"/>
  <c r="F24" i="26"/>
  <c r="G24" i="26"/>
  <c r="H24" i="26"/>
  <c r="I24" i="26"/>
  <c r="J24" i="26"/>
  <c r="K24" i="26"/>
  <c r="L24" i="26"/>
  <c r="M24" i="26"/>
  <c r="N24" i="26"/>
  <c r="O24" i="26"/>
  <c r="P24" i="26"/>
  <c r="Q24" i="26"/>
  <c r="R24" i="26"/>
  <c r="S24" i="26"/>
  <c r="T24" i="26"/>
  <c r="U24" i="26"/>
  <c r="V24" i="26"/>
  <c r="W24" i="26"/>
  <c r="X24" i="26"/>
  <c r="X96" i="26" s="1"/>
  <c r="Y24" i="26"/>
  <c r="Z24" i="26"/>
  <c r="Z96" i="26" s="1"/>
  <c r="AA24" i="26"/>
  <c r="AB24" i="26"/>
  <c r="AB96" i="26" s="1"/>
  <c r="C25" i="26"/>
  <c r="D25" i="26"/>
  <c r="E25" i="26"/>
  <c r="F25" i="26"/>
  <c r="G25" i="26"/>
  <c r="H25" i="26"/>
  <c r="I25" i="26"/>
  <c r="J25" i="26"/>
  <c r="K25" i="26"/>
  <c r="L25" i="26"/>
  <c r="M25" i="26"/>
  <c r="N25" i="26"/>
  <c r="O25" i="26"/>
  <c r="P25" i="26"/>
  <c r="Q25" i="26"/>
  <c r="R25" i="26"/>
  <c r="S25" i="26"/>
  <c r="T25" i="26"/>
  <c r="U25" i="26"/>
  <c r="V25" i="26"/>
  <c r="AD25" i="26" s="1"/>
  <c r="W25" i="26"/>
  <c r="W97" i="26" s="1"/>
  <c r="X25" i="26"/>
  <c r="X97" i="26" s="1"/>
  <c r="Y25" i="26"/>
  <c r="Z25" i="26"/>
  <c r="AA25" i="26"/>
  <c r="AB25" i="26"/>
  <c r="AB97" i="26" s="1"/>
  <c r="C26" i="26"/>
  <c r="D26" i="26"/>
  <c r="E26" i="26"/>
  <c r="F26" i="26"/>
  <c r="G26" i="26"/>
  <c r="H26" i="26"/>
  <c r="I26" i="26"/>
  <c r="I38" i="26" s="1"/>
  <c r="J26" i="26"/>
  <c r="K26" i="26"/>
  <c r="L26" i="26"/>
  <c r="M26" i="26"/>
  <c r="N26" i="26"/>
  <c r="O26" i="26"/>
  <c r="P26" i="26"/>
  <c r="Q26" i="26"/>
  <c r="Q38" i="26" s="1"/>
  <c r="R26" i="26"/>
  <c r="S26" i="26"/>
  <c r="T26" i="26"/>
  <c r="U26" i="26"/>
  <c r="V26" i="26"/>
  <c r="W26" i="26"/>
  <c r="X26" i="26"/>
  <c r="Y26" i="26"/>
  <c r="Z26" i="26"/>
  <c r="Z98" i="26" s="1"/>
  <c r="AA26" i="26"/>
  <c r="AA98" i="26" s="1"/>
  <c r="AB26" i="26"/>
  <c r="AB98" i="26" s="1"/>
  <c r="C15" i="26"/>
  <c r="D15" i="26"/>
  <c r="E15" i="26"/>
  <c r="F15" i="26"/>
  <c r="G15" i="26"/>
  <c r="H15" i="26"/>
  <c r="I15" i="26"/>
  <c r="J15" i="26"/>
  <c r="K15" i="26"/>
  <c r="L15" i="26"/>
  <c r="M15" i="26"/>
  <c r="N15" i="26"/>
  <c r="O15" i="26"/>
  <c r="P15" i="26"/>
  <c r="Q15" i="26"/>
  <c r="R15" i="26"/>
  <c r="S15" i="26"/>
  <c r="T15" i="26"/>
  <c r="U15" i="26"/>
  <c r="V15" i="26"/>
  <c r="W15" i="26"/>
  <c r="X15" i="26"/>
  <c r="Y15" i="26"/>
  <c r="Z15" i="26"/>
  <c r="AA15" i="26"/>
  <c r="AB15" i="26"/>
  <c r="F12" i="16"/>
  <c r="J12" i="16" s="1"/>
  <c r="I12" i="16"/>
  <c r="I11" i="16"/>
  <c r="F11" i="16"/>
  <c r="J11" i="16" s="1"/>
  <c r="I10" i="16"/>
  <c r="F10" i="16"/>
  <c r="J10" i="16" s="1"/>
  <c r="L59" i="30"/>
  <c r="D59" i="30"/>
  <c r="G59" i="30"/>
  <c r="C59" i="30"/>
  <c r="K59" i="30"/>
  <c r="J59" i="30"/>
  <c r="F59" i="30"/>
  <c r="I59" i="30"/>
  <c r="E59" i="30"/>
  <c r="D60" i="30"/>
  <c r="G60" i="30"/>
  <c r="J60" i="30"/>
  <c r="I60" i="30"/>
  <c r="E60" i="30"/>
  <c r="C60" i="30"/>
  <c r="L60" i="30"/>
  <c r="H60" i="30"/>
  <c r="K60" i="30"/>
  <c r="M72" i="41"/>
  <c r="O72" i="41" s="1"/>
  <c r="P72" i="41" s="1"/>
  <c r="Q72" i="41" s="1"/>
  <c r="R72" i="41" s="1"/>
  <c r="S72" i="41" s="1"/>
  <c r="T72" i="41" s="1"/>
  <c r="U72" i="41" s="1"/>
  <c r="V72" i="41" s="1"/>
  <c r="W72" i="41" s="1"/>
  <c r="AD33" i="34"/>
  <c r="M72" i="40"/>
  <c r="O72" i="40" s="1"/>
  <c r="P72" i="40" s="1"/>
  <c r="Q72" i="40" s="1"/>
  <c r="R72" i="40" s="1"/>
  <c r="S72" i="40" s="1"/>
  <c r="T72" i="40" s="1"/>
  <c r="U72" i="40" s="1"/>
  <c r="V72" i="40" s="1"/>
  <c r="W72" i="40" s="1"/>
  <c r="O66" i="40"/>
  <c r="P66" i="40" s="1"/>
  <c r="Q66" i="40" s="1"/>
  <c r="R66" i="40" s="1"/>
  <c r="S66" i="40" s="1"/>
  <c r="T66" i="40" s="1"/>
  <c r="U66" i="40" s="1"/>
  <c r="V66" i="40" s="1"/>
  <c r="W66" i="40" s="1"/>
  <c r="O32" i="38"/>
  <c r="V20" i="28"/>
  <c r="V27" i="28" s="1"/>
  <c r="W21" i="29"/>
  <c r="W28" i="29" s="1"/>
  <c r="O21" i="29"/>
  <c r="O28" i="29" s="1"/>
  <c r="G21" i="29"/>
  <c r="G28" i="29" s="1"/>
  <c r="V19" i="39"/>
  <c r="V42" i="39" s="1"/>
  <c r="I16" i="28"/>
  <c r="I22" i="28"/>
  <c r="I29" i="28"/>
  <c r="F28" i="28"/>
  <c r="Q16" i="28"/>
  <c r="N21" i="28"/>
  <c r="N28" i="28" s="1"/>
  <c r="J20" i="29"/>
  <c r="J27" i="29" s="1"/>
  <c r="V21" i="28"/>
  <c r="V28" i="28" s="1"/>
  <c r="O22" i="29"/>
  <c r="O29" i="29" s="1"/>
  <c r="F20" i="28"/>
  <c r="F27" i="28" s="1"/>
  <c r="E16" i="28"/>
  <c r="AD18" i="32"/>
  <c r="C16" i="29"/>
  <c r="K16" i="29"/>
  <c r="E26" i="34"/>
  <c r="E38" i="34" s="1"/>
  <c r="D26" i="34"/>
  <c r="D38" i="34" s="1"/>
  <c r="AC19" i="32"/>
  <c r="F22" i="28"/>
  <c r="F29" i="28" s="1"/>
  <c r="K21" i="28"/>
  <c r="K28" i="28" s="1"/>
  <c r="P27" i="28"/>
  <c r="H20" i="28"/>
  <c r="R21" i="29"/>
  <c r="R28" i="29" s="1"/>
  <c r="J21" i="29"/>
  <c r="J28" i="29" s="1"/>
  <c r="P22" i="29"/>
  <c r="P29" i="29" s="1"/>
  <c r="I6" i="39"/>
  <c r="W22" i="29"/>
  <c r="W29" i="29"/>
  <c r="Q6" i="39"/>
  <c r="M16" i="28"/>
  <c r="R22" i="28"/>
  <c r="R29" i="28" s="1"/>
  <c r="L6" i="37"/>
  <c r="H6" i="39"/>
  <c r="F22" i="29"/>
  <c r="F29" i="29" s="1"/>
  <c r="S21" i="29"/>
  <c r="S28" i="29" s="1"/>
  <c r="K21" i="29"/>
  <c r="K28" i="29" s="1"/>
  <c r="P20" i="29"/>
  <c r="P27" i="29" s="1"/>
  <c r="AC18" i="33"/>
  <c r="J22" i="29"/>
  <c r="J29" i="29" s="1"/>
  <c r="D6" i="39"/>
  <c r="W16" i="29"/>
  <c r="G6" i="25"/>
  <c r="F26" i="32"/>
  <c r="F38" i="32" s="1"/>
  <c r="R22" i="29"/>
  <c r="R29" i="29" s="1"/>
  <c r="L6" i="39"/>
  <c r="T22" i="28"/>
  <c r="T29" i="28" s="1"/>
  <c r="N6" i="37"/>
  <c r="L22" i="28"/>
  <c r="L29" i="28" s="1"/>
  <c r="F6" i="37"/>
  <c r="K16" i="28"/>
  <c r="K6" i="37"/>
  <c r="C3" i="25" s="1"/>
  <c r="P22" i="28"/>
  <c r="P29" i="28" s="1"/>
  <c r="H22" i="28"/>
  <c r="H29" i="28"/>
  <c r="U21" i="28"/>
  <c r="U28" i="28" s="1"/>
  <c r="M21" i="28"/>
  <c r="M28" i="28"/>
  <c r="E21" i="28"/>
  <c r="E28" i="28" s="1"/>
  <c r="R20" i="28"/>
  <c r="R27" i="28" s="1"/>
  <c r="J20" i="28"/>
  <c r="J27" i="28" s="1"/>
  <c r="Q21" i="29"/>
  <c r="Q28" i="29" s="1"/>
  <c r="I21" i="29"/>
  <c r="I28" i="29" s="1"/>
  <c r="E26" i="33"/>
  <c r="E38" i="33" s="1"/>
  <c r="T26" i="34"/>
  <c r="T38" i="34" s="1"/>
  <c r="V22" i="28"/>
  <c r="V29" i="28" s="1"/>
  <c r="P6" i="37"/>
  <c r="H6" i="37"/>
  <c r="U22" i="28"/>
  <c r="U29" i="28" s="1"/>
  <c r="O6" i="37"/>
  <c r="O22" i="28"/>
  <c r="O29" i="28"/>
  <c r="I6" i="37"/>
  <c r="M26" i="34"/>
  <c r="M38" i="34" s="1"/>
  <c r="C47" i="25"/>
  <c r="O18" i="41"/>
  <c r="P18" i="41" s="1"/>
  <c r="P41" i="41" s="1"/>
  <c r="O13" i="41"/>
  <c r="O36" i="41" s="1"/>
  <c r="V8" i="39"/>
  <c r="V31" i="39" s="1"/>
  <c r="W22" i="39"/>
  <c r="W45" i="39" s="1"/>
  <c r="N38" i="25"/>
  <c r="G47" i="25"/>
  <c r="E47" i="25"/>
  <c r="X98" i="27"/>
  <c r="AD25" i="27"/>
  <c r="AC24" i="27"/>
  <c r="Z97" i="26"/>
  <c r="Y97" i="26"/>
  <c r="AA96" i="26"/>
  <c r="Y96" i="26"/>
  <c r="W96" i="26"/>
  <c r="W91" i="26"/>
  <c r="AB84" i="26"/>
  <c r="X79" i="26"/>
  <c r="Y79" i="26"/>
  <c r="AA84" i="26"/>
  <c r="Z84" i="26"/>
  <c r="Y84" i="26"/>
  <c r="X84" i="26"/>
  <c r="AB79" i="26"/>
  <c r="AB85" i="26"/>
  <c r="Z85" i="26"/>
  <c r="AA79" i="26"/>
  <c r="Y85" i="26"/>
  <c r="Z79" i="26"/>
  <c r="AD21" i="32"/>
  <c r="AD14" i="33"/>
  <c r="O21" i="41"/>
  <c r="P21" i="41" s="1"/>
  <c r="K55" i="30"/>
  <c r="L55" i="30"/>
  <c r="H55" i="30"/>
  <c r="J55" i="30"/>
  <c r="G55" i="30"/>
  <c r="I55" i="30"/>
  <c r="E55" i="30"/>
  <c r="C55" i="30"/>
  <c r="D55" i="30"/>
  <c r="F55" i="30"/>
  <c r="O11" i="41"/>
  <c r="O34" i="41" s="1"/>
  <c r="O12" i="41"/>
  <c r="O35" i="41" s="1"/>
  <c r="S32" i="32"/>
  <c r="AD19" i="32"/>
  <c r="H26" i="32"/>
  <c r="H38" i="32" s="1"/>
  <c r="U26" i="33"/>
  <c r="U38" i="33" s="1"/>
  <c r="P26" i="33"/>
  <c r="P38" i="33" s="1"/>
  <c r="AD23" i="33"/>
  <c r="J26" i="33"/>
  <c r="J38" i="33" s="1"/>
  <c r="F47" i="25"/>
  <c r="D47" i="25"/>
  <c r="I47" i="25"/>
  <c r="K47" i="25"/>
  <c r="T47" i="25"/>
  <c r="R47" i="25"/>
  <c r="Q26" i="34"/>
  <c r="Q38" i="34" s="1"/>
  <c r="I26" i="34"/>
  <c r="I38" i="34"/>
  <c r="U26" i="34"/>
  <c r="U38" i="34" s="1"/>
  <c r="P26" i="34"/>
  <c r="P38" i="34"/>
  <c r="H26" i="34"/>
  <c r="H38" i="34" s="1"/>
  <c r="I38" i="25"/>
  <c r="F38" i="25"/>
  <c r="T38" i="25"/>
  <c r="AD22" i="34"/>
  <c r="R26" i="34"/>
  <c r="R38" i="34" s="1"/>
  <c r="V26" i="34"/>
  <c r="V38" i="34" s="1"/>
  <c r="N26" i="34"/>
  <c r="N38" i="34" s="1"/>
  <c r="F26" i="34"/>
  <c r="F38" i="34"/>
  <c r="AC20" i="34"/>
  <c r="M38" i="25"/>
  <c r="AD24" i="34"/>
  <c r="K26" i="34"/>
  <c r="K38" i="34" s="1"/>
  <c r="R38" i="25"/>
  <c r="AD15" i="27"/>
  <c r="AD67" i="26"/>
  <c r="AC15" i="26"/>
  <c r="L38" i="25"/>
  <c r="P47" i="25"/>
  <c r="N47" i="25"/>
  <c r="L47" i="25"/>
  <c r="J47" i="25"/>
  <c r="G38" i="25"/>
  <c r="E38" i="25"/>
  <c r="D38" i="25"/>
  <c r="C38" i="25"/>
  <c r="Q47" i="25"/>
  <c r="S38" i="25"/>
  <c r="K38" i="25"/>
  <c r="Q38" i="25"/>
  <c r="O38" i="25"/>
  <c r="H47" i="25"/>
  <c r="O47" i="25"/>
  <c r="M47" i="25"/>
  <c r="S47" i="25"/>
  <c r="J38" i="25"/>
  <c r="O55" i="40"/>
  <c r="P55" i="40" s="1"/>
  <c r="Q55" i="40" s="1"/>
  <c r="R55" i="40" s="1"/>
  <c r="S55" i="40" s="1"/>
  <c r="T55" i="40" s="1"/>
  <c r="U55" i="40" s="1"/>
  <c r="V55" i="40" s="1"/>
  <c r="W55" i="40" s="1"/>
  <c r="O8" i="40"/>
  <c r="O57" i="41"/>
  <c r="P57" i="41" s="1"/>
  <c r="Q57" i="41" s="1"/>
  <c r="R57" i="41" s="1"/>
  <c r="S57" i="41" s="1"/>
  <c r="T57" i="41" s="1"/>
  <c r="U57" i="41" s="1"/>
  <c r="V57" i="41" s="1"/>
  <c r="W57" i="41" s="1"/>
  <c r="O10" i="41"/>
  <c r="O71" i="41"/>
  <c r="P71" i="41" s="1"/>
  <c r="Q71" i="41" s="1"/>
  <c r="R71" i="41" s="1"/>
  <c r="S71" i="41" s="1"/>
  <c r="T71" i="41" s="1"/>
  <c r="U71" i="41" s="1"/>
  <c r="V71" i="41" s="1"/>
  <c r="W71" i="41" s="1"/>
  <c r="O24" i="41"/>
  <c r="O7" i="41"/>
  <c r="O19" i="41"/>
  <c r="O55" i="41"/>
  <c r="P55" i="41" s="1"/>
  <c r="Q55" i="41" s="1"/>
  <c r="R55" i="41" s="1"/>
  <c r="S55" i="41" s="1"/>
  <c r="T55" i="41" s="1"/>
  <c r="U55" i="41" s="1"/>
  <c r="V55" i="41" s="1"/>
  <c r="W55" i="41" s="1"/>
  <c r="O8" i="41"/>
  <c r="O22" i="40"/>
  <c r="O61" i="40"/>
  <c r="P61" i="40" s="1"/>
  <c r="Q61" i="40" s="1"/>
  <c r="R61" i="40" s="1"/>
  <c r="S61" i="40" s="1"/>
  <c r="T61" i="40" s="1"/>
  <c r="U61" i="40" s="1"/>
  <c r="V61" i="40" s="1"/>
  <c r="W61" i="40" s="1"/>
  <c r="O14" i="40"/>
  <c r="O42" i="40"/>
  <c r="P19" i="40"/>
  <c r="O57" i="40"/>
  <c r="P57" i="40" s="1"/>
  <c r="Q57" i="40" s="1"/>
  <c r="R57" i="40" s="1"/>
  <c r="S57" i="40" s="1"/>
  <c r="T57" i="40" s="1"/>
  <c r="U57" i="40" s="1"/>
  <c r="V57" i="40" s="1"/>
  <c r="W57" i="40" s="1"/>
  <c r="O10" i="40"/>
  <c r="O71" i="40"/>
  <c r="P71" i="40"/>
  <c r="Q71" i="40" s="1"/>
  <c r="R71" i="40" s="1"/>
  <c r="S71" i="40" s="1"/>
  <c r="T71" i="40" s="1"/>
  <c r="U71" i="40" s="1"/>
  <c r="V71" i="40" s="1"/>
  <c r="W71" i="40" s="1"/>
  <c r="O70" i="40"/>
  <c r="P70" i="40" s="1"/>
  <c r="Q70" i="40" s="1"/>
  <c r="R70" i="40" s="1"/>
  <c r="S70" i="40" s="1"/>
  <c r="T70" i="40" s="1"/>
  <c r="U70" i="40" s="1"/>
  <c r="V70" i="40" s="1"/>
  <c r="W70" i="40" s="1"/>
  <c r="O23" i="40"/>
  <c r="O38" i="40"/>
  <c r="O67" i="40"/>
  <c r="P67" i="40" s="1"/>
  <c r="Q67" i="40" s="1"/>
  <c r="R67" i="40" s="1"/>
  <c r="S67" i="40" s="1"/>
  <c r="T67" i="40" s="1"/>
  <c r="U67" i="40" s="1"/>
  <c r="V67" i="40" s="1"/>
  <c r="W67" i="40" s="1"/>
  <c r="O20" i="40"/>
  <c r="V39" i="39"/>
  <c r="W16" i="39"/>
  <c r="T72" i="39"/>
  <c r="V72" i="39" s="1"/>
  <c r="W72" i="39" s="1"/>
  <c r="X72" i="39" s="1"/>
  <c r="Y72" i="39" s="1"/>
  <c r="Z72" i="39" s="1"/>
  <c r="AA72" i="39" s="1"/>
  <c r="AB72" i="39" s="1"/>
  <c r="AC72" i="39" s="1"/>
  <c r="AD72" i="39" s="1"/>
  <c r="M73" i="39"/>
  <c r="W12" i="39"/>
  <c r="V35" i="39"/>
  <c r="O71" i="38"/>
  <c r="P71" i="38" s="1"/>
  <c r="Q71" i="38" s="1"/>
  <c r="R71" i="38" s="1"/>
  <c r="S71" i="38" s="1"/>
  <c r="T71" i="38" s="1"/>
  <c r="U71" i="38" s="1"/>
  <c r="V71" i="38" s="1"/>
  <c r="W71" i="38" s="1"/>
  <c r="O24" i="38"/>
  <c r="O70" i="38"/>
  <c r="P70" i="38" s="1"/>
  <c r="Q70" i="38" s="1"/>
  <c r="R70" i="38" s="1"/>
  <c r="S70" i="38" s="1"/>
  <c r="T70" i="38" s="1"/>
  <c r="U70" i="38" s="1"/>
  <c r="V70" i="38" s="1"/>
  <c r="W70" i="38" s="1"/>
  <c r="O23" i="38"/>
  <c r="O72" i="38"/>
  <c r="P72" i="38" s="1"/>
  <c r="Q72" i="38" s="1"/>
  <c r="R72" i="38" s="1"/>
  <c r="S72" i="38" s="1"/>
  <c r="T72" i="38" s="1"/>
  <c r="U72" i="38" s="1"/>
  <c r="V72" i="38" s="1"/>
  <c r="W72" i="38" s="1"/>
  <c r="O25" i="38"/>
  <c r="O67" i="38"/>
  <c r="P67" i="38" s="1"/>
  <c r="Q67" i="38" s="1"/>
  <c r="R67" i="38" s="1"/>
  <c r="S67" i="38" s="1"/>
  <c r="T67" i="38" s="1"/>
  <c r="U67" i="38" s="1"/>
  <c r="V67" i="38" s="1"/>
  <c r="W67" i="38" s="1"/>
  <c r="O20" i="38"/>
  <c r="O68" i="38"/>
  <c r="P68" i="38" s="1"/>
  <c r="Q68" i="38" s="1"/>
  <c r="R68" i="38"/>
  <c r="S68" i="38" s="1"/>
  <c r="T68" i="38" s="1"/>
  <c r="U68" i="38" s="1"/>
  <c r="V68" i="38" s="1"/>
  <c r="W68" i="38" s="1"/>
  <c r="O37" i="38"/>
  <c r="P14" i="38"/>
  <c r="Q9" i="38"/>
  <c r="P32" i="38"/>
  <c r="V64" i="37"/>
  <c r="W64" i="37" s="1"/>
  <c r="X64" i="37" s="1"/>
  <c r="Y64" i="37" s="1"/>
  <c r="Z64" i="37" s="1"/>
  <c r="AA64" i="37" s="1"/>
  <c r="AB64" i="37" s="1"/>
  <c r="AC64" i="37" s="1"/>
  <c r="AD64" i="37" s="1"/>
  <c r="V17" i="37"/>
  <c r="V66" i="37"/>
  <c r="W66" i="37" s="1"/>
  <c r="X66" i="37" s="1"/>
  <c r="Y66" i="37" s="1"/>
  <c r="Z66" i="37" s="1"/>
  <c r="AA66" i="37" s="1"/>
  <c r="AB66" i="37" s="1"/>
  <c r="AC66" i="37" s="1"/>
  <c r="AD66" i="37" s="1"/>
  <c r="V19" i="37"/>
  <c r="V71" i="37"/>
  <c r="W71" i="37" s="1"/>
  <c r="X71" i="37" s="1"/>
  <c r="Y71" i="37" s="1"/>
  <c r="Z71" i="37" s="1"/>
  <c r="AA71" i="37" s="1"/>
  <c r="AB71" i="37" s="1"/>
  <c r="AC71" i="37" s="1"/>
  <c r="AD71" i="37" s="1"/>
  <c r="V65" i="37"/>
  <c r="W65" i="37" s="1"/>
  <c r="X65" i="37"/>
  <c r="Y65" i="37" s="1"/>
  <c r="Z65" i="37" s="1"/>
  <c r="AA65" i="37" s="1"/>
  <c r="AB65" i="37" s="1"/>
  <c r="AC65" i="37" s="1"/>
  <c r="AD65" i="37" s="1"/>
  <c r="V18" i="37"/>
  <c r="V10" i="37"/>
  <c r="V33" i="37" s="1"/>
  <c r="V7" i="37"/>
  <c r="M66" i="30"/>
  <c r="M73" i="30"/>
  <c r="M71" i="30"/>
  <c r="M72" i="30"/>
  <c r="P38" i="25"/>
  <c r="H38" i="25"/>
  <c r="AC18" i="34"/>
  <c r="AA26" i="34"/>
  <c r="AA38" i="34" s="1"/>
  <c r="AD14" i="34"/>
  <c r="AD23" i="34"/>
  <c r="AD18" i="34"/>
  <c r="AC23" i="34"/>
  <c r="AD32" i="34"/>
  <c r="AC35" i="34"/>
  <c r="AC31" i="34"/>
  <c r="AC34" i="34"/>
  <c r="AD34" i="34"/>
  <c r="AD37" i="34"/>
  <c r="AC37" i="34"/>
  <c r="S26" i="34"/>
  <c r="S38" i="34" s="1"/>
  <c r="AD25" i="34"/>
  <c r="AC22" i="34"/>
  <c r="AD19" i="34"/>
  <c r="X36" i="34"/>
  <c r="S35" i="34"/>
  <c r="T32" i="34"/>
  <c r="Z26" i="34"/>
  <c r="Z38" i="34" s="1"/>
  <c r="AC25" i="34"/>
  <c r="AC19" i="34"/>
  <c r="AD31" i="34"/>
  <c r="V31" i="34"/>
  <c r="N31" i="34"/>
  <c r="F31" i="34"/>
  <c r="Y30" i="34"/>
  <c r="Q30" i="34"/>
  <c r="I30" i="34"/>
  <c r="Y26" i="34"/>
  <c r="Y38" i="34" s="1"/>
  <c r="AD21" i="34"/>
  <c r="P30" i="34"/>
  <c r="H30" i="34"/>
  <c r="AC21" i="34"/>
  <c r="W26" i="34"/>
  <c r="O26" i="34"/>
  <c r="O38" i="34"/>
  <c r="AC24" i="34"/>
  <c r="AD20" i="34"/>
  <c r="AD19" i="33"/>
  <c r="X26" i="33"/>
  <c r="X38" i="33" s="1"/>
  <c r="AC19" i="33"/>
  <c r="AD18" i="33"/>
  <c r="AC24" i="32"/>
  <c r="AD37" i="33"/>
  <c r="AD34" i="33"/>
  <c r="AB26" i="33"/>
  <c r="AB38" i="33" s="1"/>
  <c r="T26" i="33"/>
  <c r="T38" i="33" s="1"/>
  <c r="AD22" i="33"/>
  <c r="X31" i="33"/>
  <c r="S30" i="33"/>
  <c r="K30" i="33"/>
  <c r="AA26" i="33"/>
  <c r="AA38" i="33" s="1"/>
  <c r="S26" i="33"/>
  <c r="S38" i="33" s="1"/>
  <c r="Z26" i="33"/>
  <c r="Z38" i="33" s="1"/>
  <c r="AC25" i="33"/>
  <c r="Y26" i="33"/>
  <c r="Y38" i="33"/>
  <c r="Q26" i="33"/>
  <c r="Q38" i="33" s="1"/>
  <c r="I26" i="33"/>
  <c r="I38" i="33" s="1"/>
  <c r="V26" i="33"/>
  <c r="V38" i="33" s="1"/>
  <c r="N26" i="33"/>
  <c r="N38" i="33" s="1"/>
  <c r="F26" i="33"/>
  <c r="F38" i="33" s="1"/>
  <c r="AD20" i="33"/>
  <c r="AC20" i="33"/>
  <c r="AD24" i="32"/>
  <c r="AC23" i="32"/>
  <c r="AC21" i="32"/>
  <c r="W26" i="32"/>
  <c r="O26" i="32"/>
  <c r="O38" i="32" s="1"/>
  <c r="G26" i="32"/>
  <c r="G38" i="32" s="1"/>
  <c r="S35" i="32"/>
  <c r="U26" i="32"/>
  <c r="U38" i="32" s="1"/>
  <c r="S37" i="32"/>
  <c r="V36" i="32"/>
  <c r="F36" i="32"/>
  <c r="Y35" i="32"/>
  <c r="Q35" i="32"/>
  <c r="I35" i="32"/>
  <c r="T34" i="32"/>
  <c r="W33" i="32"/>
  <c r="R32" i="32"/>
  <c r="X30" i="32"/>
  <c r="T26" i="32"/>
  <c r="T38" i="32" s="1"/>
  <c r="L26" i="32"/>
  <c r="L38" i="32" s="1"/>
  <c r="D26" i="32"/>
  <c r="D38" i="32" s="1"/>
  <c r="S26" i="32"/>
  <c r="S38" i="32" s="1"/>
  <c r="K26" i="32"/>
  <c r="K38" i="32" s="1"/>
  <c r="S31" i="32"/>
  <c r="R26" i="32"/>
  <c r="R38" i="32" s="1"/>
  <c r="J26" i="32"/>
  <c r="J38" i="32" s="1"/>
  <c r="AD26" i="26"/>
  <c r="AC21" i="26"/>
  <c r="AC26" i="26"/>
  <c r="AC22" i="26"/>
  <c r="AD22" i="26"/>
  <c r="AD21" i="26"/>
  <c r="AD24" i="26"/>
  <c r="AC23" i="26"/>
  <c r="AE73" i="26"/>
  <c r="AE67" i="26"/>
  <c r="X85" i="26"/>
  <c r="Y38" i="26"/>
  <c r="Y50" i="26" s="1"/>
  <c r="I50" i="26"/>
  <c r="S37" i="26"/>
  <c r="K37" i="26"/>
  <c r="K49" i="26" s="1"/>
  <c r="U36" i="26"/>
  <c r="U48" i="26" s="1"/>
  <c r="M36" i="26"/>
  <c r="M48" i="26" s="1"/>
  <c r="E36" i="26"/>
  <c r="E48" i="26" s="1"/>
  <c r="W35" i="26"/>
  <c r="W47" i="26"/>
  <c r="O35" i="26"/>
  <c r="O47" i="26" s="1"/>
  <c r="G35" i="26"/>
  <c r="G47" i="26" s="1"/>
  <c r="Y34" i="26"/>
  <c r="Y46" i="26" s="1"/>
  <c r="Q34" i="26"/>
  <c r="I34" i="26"/>
  <c r="I46" i="26" s="1"/>
  <c r="AA45" i="26"/>
  <c r="K33" i="26"/>
  <c r="K45" i="26" s="1"/>
  <c r="U32" i="26"/>
  <c r="U44" i="26" s="1"/>
  <c r="E32" i="26"/>
  <c r="E44" i="26" s="1"/>
  <c r="W31" i="26"/>
  <c r="W43" i="26" s="1"/>
  <c r="O31" i="26"/>
  <c r="O43" i="26"/>
  <c r="G31" i="26"/>
  <c r="G43" i="26" s="1"/>
  <c r="V38" i="26"/>
  <c r="V50" i="26" s="1"/>
  <c r="N38" i="26"/>
  <c r="N50" i="26" s="1"/>
  <c r="F38" i="26"/>
  <c r="F50" i="26"/>
  <c r="X37" i="26"/>
  <c r="X49" i="26" s="1"/>
  <c r="P37" i="26"/>
  <c r="P49" i="26" s="1"/>
  <c r="H37" i="26"/>
  <c r="H49" i="26" s="1"/>
  <c r="Z36" i="26"/>
  <c r="Z48" i="26" s="1"/>
  <c r="R36" i="26"/>
  <c r="R48" i="26" s="1"/>
  <c r="J36" i="26"/>
  <c r="J48" i="26" s="1"/>
  <c r="AB35" i="26"/>
  <c r="AB47" i="26" s="1"/>
  <c r="T35" i="26"/>
  <c r="T47" i="26" s="1"/>
  <c r="L35" i="26"/>
  <c r="L47" i="26" s="1"/>
  <c r="D35" i="26"/>
  <c r="D47" i="26" s="1"/>
  <c r="V34" i="26"/>
  <c r="V46" i="26" s="1"/>
  <c r="N34" i="26"/>
  <c r="N46" i="26" s="1"/>
  <c r="L22" i="29"/>
  <c r="L29" i="29" s="1"/>
  <c r="D22" i="29"/>
  <c r="D29" i="29" s="1"/>
  <c r="P21" i="29"/>
  <c r="P28" i="29"/>
  <c r="H21" i="29"/>
  <c r="H28" i="29" s="1"/>
  <c r="U20" i="29"/>
  <c r="U27" i="29" s="1"/>
  <c r="M20" i="29"/>
  <c r="M27" i="29" s="1"/>
  <c r="E20" i="29"/>
  <c r="E27" i="29" s="1"/>
  <c r="V21" i="29"/>
  <c r="V28" i="29" s="1"/>
  <c r="N21" i="29"/>
  <c r="N28" i="29" s="1"/>
  <c r="F21" i="29"/>
  <c r="F28" i="29" s="1"/>
  <c r="T20" i="29"/>
  <c r="T27" i="29" s="1"/>
  <c r="L20" i="29"/>
  <c r="L27" i="29" s="1"/>
  <c r="D20" i="29"/>
  <c r="D27" i="29" s="1"/>
  <c r="S22" i="29"/>
  <c r="S29" i="29" s="1"/>
  <c r="Q16" i="29"/>
  <c r="D21" i="29"/>
  <c r="D28" i="29" s="1"/>
  <c r="K22" i="29"/>
  <c r="K29" i="29"/>
  <c r="U22" i="29"/>
  <c r="U29" i="29" s="1"/>
  <c r="E22" i="29"/>
  <c r="E29" i="29" s="1"/>
  <c r="W20" i="29"/>
  <c r="W27" i="29" s="1"/>
  <c r="O20" i="29"/>
  <c r="O27" i="29"/>
  <c r="G20" i="29"/>
  <c r="G27" i="29" s="1"/>
  <c r="Q21" i="28"/>
  <c r="Q28" i="28" s="1"/>
  <c r="R21" i="28"/>
  <c r="R28" i="28"/>
  <c r="J21" i="28"/>
  <c r="J28" i="28" s="1"/>
  <c r="S16" i="28"/>
  <c r="M22" i="28"/>
  <c r="M29" i="28" s="1"/>
  <c r="I21" i="28"/>
  <c r="I28" i="28" s="1"/>
  <c r="G22" i="28"/>
  <c r="G29" i="28" s="1"/>
  <c r="E22" i="28"/>
  <c r="E29" i="28" s="1"/>
  <c r="T21" i="28"/>
  <c r="T28" i="28" s="1"/>
  <c r="L21" i="28"/>
  <c r="L28" i="28" s="1"/>
  <c r="D21" i="28"/>
  <c r="D28" i="28" s="1"/>
  <c r="Q20" i="28"/>
  <c r="I20" i="28"/>
  <c r="U37" i="27"/>
  <c r="U49" i="27"/>
  <c r="M37" i="27"/>
  <c r="M49" i="27" s="1"/>
  <c r="S34" i="27"/>
  <c r="W38" i="26"/>
  <c r="W39" i="26" s="1"/>
  <c r="W51" i="26" s="1"/>
  <c r="O38" i="26"/>
  <c r="O50" i="26" s="1"/>
  <c r="G38" i="26"/>
  <c r="G50" i="26" s="1"/>
  <c r="Y37" i="26"/>
  <c r="Y49" i="26" s="1"/>
  <c r="Q37" i="26"/>
  <c r="I37" i="26"/>
  <c r="I49" i="26" s="1"/>
  <c r="AA36" i="26"/>
  <c r="AA48" i="26" s="1"/>
  <c r="S36" i="26"/>
  <c r="K36" i="26"/>
  <c r="K48" i="26"/>
  <c r="U35" i="26"/>
  <c r="U47" i="26" s="1"/>
  <c r="M35" i="26"/>
  <c r="M47" i="26" s="1"/>
  <c r="E35" i="26"/>
  <c r="E47" i="26" s="1"/>
  <c r="W34" i="26"/>
  <c r="W46" i="26"/>
  <c r="O34" i="26"/>
  <c r="O46" i="26" s="1"/>
  <c r="G34" i="26"/>
  <c r="G46" i="26"/>
  <c r="Y33" i="26"/>
  <c r="Y45" i="26" s="1"/>
  <c r="Q33" i="26"/>
  <c r="I33" i="26"/>
  <c r="I45" i="26" s="1"/>
  <c r="E31" i="26"/>
  <c r="E43" i="26" s="1"/>
  <c r="AA32" i="26"/>
  <c r="AA44" i="26" s="1"/>
  <c r="S32" i="26"/>
  <c r="K32" i="26"/>
  <c r="K44" i="26"/>
  <c r="U31" i="26"/>
  <c r="U43" i="26" s="1"/>
  <c r="M31" i="26"/>
  <c r="M43" i="26" s="1"/>
  <c r="F34" i="26"/>
  <c r="F46" i="26"/>
  <c r="X33" i="26"/>
  <c r="X45" i="26" s="1"/>
  <c r="P33" i="26"/>
  <c r="P45" i="26" s="1"/>
  <c r="H33" i="26"/>
  <c r="H45" i="26" s="1"/>
  <c r="Z32" i="26"/>
  <c r="Z44" i="26"/>
  <c r="R32" i="26"/>
  <c r="R44" i="26" s="1"/>
  <c r="J32" i="26"/>
  <c r="J44" i="26" s="1"/>
  <c r="AB31" i="26"/>
  <c r="AB43" i="26"/>
  <c r="T31" i="26"/>
  <c r="T43" i="26" s="1"/>
  <c r="L43" i="26"/>
  <c r="D31" i="26"/>
  <c r="D43" i="26" s="1"/>
  <c r="AB38" i="26"/>
  <c r="AB50" i="26"/>
  <c r="T38" i="26"/>
  <c r="T50" i="26" s="1"/>
  <c r="L38" i="26"/>
  <c r="L50" i="26" s="1"/>
  <c r="D38" i="26"/>
  <c r="D50" i="26" s="1"/>
  <c r="V37" i="26"/>
  <c r="V49" i="26" s="1"/>
  <c r="N37" i="26"/>
  <c r="N49" i="26" s="1"/>
  <c r="F37" i="26"/>
  <c r="F49" i="26"/>
  <c r="X36" i="26"/>
  <c r="X48" i="26" s="1"/>
  <c r="P36" i="26"/>
  <c r="P48" i="26"/>
  <c r="H36" i="26"/>
  <c r="H48" i="26" s="1"/>
  <c r="Z35" i="26"/>
  <c r="Z47" i="26"/>
  <c r="R35" i="26"/>
  <c r="R47" i="26" s="1"/>
  <c r="J35" i="26"/>
  <c r="J47" i="26"/>
  <c r="AB34" i="26"/>
  <c r="AB46" i="26" s="1"/>
  <c r="T34" i="26"/>
  <c r="T46" i="26" s="1"/>
  <c r="L34" i="26"/>
  <c r="L46" i="26" s="1"/>
  <c r="D34" i="26"/>
  <c r="D46" i="26" s="1"/>
  <c r="V33" i="26"/>
  <c r="V45" i="26" s="1"/>
  <c r="N33" i="26"/>
  <c r="N45" i="26" s="1"/>
  <c r="F33" i="26"/>
  <c r="F45" i="26"/>
  <c r="Z31" i="26"/>
  <c r="Z43" i="26" s="1"/>
  <c r="R31" i="26"/>
  <c r="R43" i="26" s="1"/>
  <c r="J31" i="26"/>
  <c r="J43" i="26"/>
  <c r="Q27" i="26"/>
  <c r="I27" i="26"/>
  <c r="Z38" i="26"/>
  <c r="Z50" i="26" s="1"/>
  <c r="R38" i="26"/>
  <c r="R50" i="26" s="1"/>
  <c r="J38" i="26"/>
  <c r="J50" i="26"/>
  <c r="AB37" i="26"/>
  <c r="AB49" i="26" s="1"/>
  <c r="T37" i="26"/>
  <c r="T49" i="26"/>
  <c r="L37" i="26"/>
  <c r="L49" i="26" s="1"/>
  <c r="D37" i="26"/>
  <c r="D49" i="26" s="1"/>
  <c r="V36" i="26"/>
  <c r="V48" i="26"/>
  <c r="N36" i="26"/>
  <c r="N48" i="26" s="1"/>
  <c r="F36" i="26"/>
  <c r="F48" i="26" s="1"/>
  <c r="X35" i="26"/>
  <c r="X47" i="26"/>
  <c r="P35" i="26"/>
  <c r="P47" i="26"/>
  <c r="H35" i="26"/>
  <c r="H47" i="26" s="1"/>
  <c r="Z34" i="26"/>
  <c r="Z46" i="26" s="1"/>
  <c r="R34" i="26"/>
  <c r="R46" i="26" s="1"/>
  <c r="J34" i="26"/>
  <c r="J46" i="26" s="1"/>
  <c r="AB33" i="26"/>
  <c r="AB45" i="26" s="1"/>
  <c r="T33" i="26"/>
  <c r="T45" i="26" s="1"/>
  <c r="L33" i="26"/>
  <c r="L45" i="26"/>
  <c r="D33" i="26"/>
  <c r="D45" i="26" s="1"/>
  <c r="V32" i="26"/>
  <c r="V44" i="26"/>
  <c r="N32" i="26"/>
  <c r="N44" i="26" s="1"/>
  <c r="F32" i="26"/>
  <c r="F44" i="26" s="1"/>
  <c r="X31" i="26"/>
  <c r="X43" i="26"/>
  <c r="P31" i="26"/>
  <c r="P43" i="26" s="1"/>
  <c r="H31" i="26"/>
  <c r="H43" i="26" s="1"/>
  <c r="Z27" i="26"/>
  <c r="R27" i="26"/>
  <c r="X38" i="26"/>
  <c r="X50" i="26"/>
  <c r="P38" i="26"/>
  <c r="P50" i="26"/>
  <c r="H38" i="26"/>
  <c r="H50" i="26" s="1"/>
  <c r="Z37" i="26"/>
  <c r="Z49" i="26" s="1"/>
  <c r="R37" i="26"/>
  <c r="R49" i="26" s="1"/>
  <c r="J37" i="26"/>
  <c r="J49" i="26" s="1"/>
  <c r="AB36" i="26"/>
  <c r="AB48" i="26" s="1"/>
  <c r="T36" i="26"/>
  <c r="T48" i="26"/>
  <c r="L36" i="26"/>
  <c r="L48" i="26" s="1"/>
  <c r="D36" i="26"/>
  <c r="D48" i="26"/>
  <c r="V35" i="26"/>
  <c r="V47" i="26" s="1"/>
  <c r="N35" i="26"/>
  <c r="N47" i="26" s="1"/>
  <c r="F35" i="26"/>
  <c r="F47" i="26" s="1"/>
  <c r="X34" i="26"/>
  <c r="X46" i="26" s="1"/>
  <c r="P34" i="26"/>
  <c r="P46" i="26" s="1"/>
  <c r="H34" i="26"/>
  <c r="H46" i="26" s="1"/>
  <c r="Z33" i="26"/>
  <c r="Z45" i="26"/>
  <c r="R33" i="26"/>
  <c r="R45" i="26" s="1"/>
  <c r="AD45" i="26" s="1"/>
  <c r="J33" i="26"/>
  <c r="J45" i="26" s="1"/>
  <c r="AB32" i="26"/>
  <c r="AB44" i="26"/>
  <c r="T32" i="26"/>
  <c r="T44" i="26" s="1"/>
  <c r="L32" i="26"/>
  <c r="L44" i="26"/>
  <c r="D32" i="26"/>
  <c r="D44" i="26" s="1"/>
  <c r="V31" i="26"/>
  <c r="N31" i="26"/>
  <c r="N43" i="26" s="1"/>
  <c r="F31" i="26"/>
  <c r="F43" i="26" s="1"/>
  <c r="C27" i="26"/>
  <c r="X27" i="26"/>
  <c r="J27" i="26"/>
  <c r="U38" i="26"/>
  <c r="U50" i="26"/>
  <c r="M38" i="26"/>
  <c r="M50" i="26"/>
  <c r="E38" i="26"/>
  <c r="E50" i="26"/>
  <c r="W37" i="26"/>
  <c r="W49" i="26" s="1"/>
  <c r="O37" i="26"/>
  <c r="O49" i="26"/>
  <c r="G37" i="26"/>
  <c r="G49" i="26" s="1"/>
  <c r="Y36" i="26"/>
  <c r="Y48" i="26" s="1"/>
  <c r="Q36" i="26"/>
  <c r="I36" i="26"/>
  <c r="I48" i="26"/>
  <c r="AA35" i="26"/>
  <c r="AA47" i="26" s="1"/>
  <c r="S35" i="26"/>
  <c r="K35" i="26"/>
  <c r="K47" i="26"/>
  <c r="U34" i="26"/>
  <c r="U46" i="26" s="1"/>
  <c r="M34" i="26"/>
  <c r="M46" i="26" s="1"/>
  <c r="E34" i="26"/>
  <c r="E46" i="26" s="1"/>
  <c r="W33" i="26"/>
  <c r="W45" i="26" s="1"/>
  <c r="O33" i="26"/>
  <c r="O45" i="26" s="1"/>
  <c r="G33" i="26"/>
  <c r="G39" i="26" s="1"/>
  <c r="G51" i="26" s="1"/>
  <c r="Y32" i="26"/>
  <c r="Y44" i="26"/>
  <c r="Q32" i="26"/>
  <c r="I32" i="26"/>
  <c r="I44" i="26" s="1"/>
  <c r="AA31" i="26"/>
  <c r="AA43" i="26"/>
  <c r="S31" i="26"/>
  <c r="AC31" i="26" s="1"/>
  <c r="K31" i="26"/>
  <c r="K43" i="26"/>
  <c r="P27" i="26"/>
  <c r="H27" i="26"/>
  <c r="AA38" i="26"/>
  <c r="AA50" i="26" s="1"/>
  <c r="S38" i="26"/>
  <c r="K38" i="26"/>
  <c r="K50" i="26" s="1"/>
  <c r="U37" i="26"/>
  <c r="U49" i="26" s="1"/>
  <c r="M37" i="26"/>
  <c r="M49" i="26"/>
  <c r="E37" i="26"/>
  <c r="E49" i="26"/>
  <c r="W36" i="26"/>
  <c r="W48" i="26" s="1"/>
  <c r="O36" i="26"/>
  <c r="O48" i="26" s="1"/>
  <c r="G36" i="26"/>
  <c r="G48" i="26"/>
  <c r="Y35" i="26"/>
  <c r="Y47" i="26"/>
  <c r="Q35" i="26"/>
  <c r="I35" i="26"/>
  <c r="I47" i="26" s="1"/>
  <c r="AA34" i="26"/>
  <c r="AA46" i="26" s="1"/>
  <c r="S34" i="26"/>
  <c r="K34" i="26"/>
  <c r="K46" i="26"/>
  <c r="U27" i="26"/>
  <c r="M27" i="26"/>
  <c r="E27" i="26"/>
  <c r="W32" i="26"/>
  <c r="W44" i="26" s="1"/>
  <c r="O27" i="26"/>
  <c r="G27" i="26"/>
  <c r="Y31" i="26"/>
  <c r="Y43" i="26" s="1"/>
  <c r="Q31" i="26"/>
  <c r="I31" i="26"/>
  <c r="I43" i="26" s="1"/>
  <c r="K34" i="27"/>
  <c r="K46" i="27" s="1"/>
  <c r="E37" i="27"/>
  <c r="E49" i="27" s="1"/>
  <c r="S38" i="27"/>
  <c r="S50" i="27" s="1"/>
  <c r="K38" i="27"/>
  <c r="K50" i="27" s="1"/>
  <c r="Y35" i="27"/>
  <c r="Y47" i="27"/>
  <c r="Q35" i="27"/>
  <c r="I35" i="27"/>
  <c r="I47" i="27" s="1"/>
  <c r="V36" i="27"/>
  <c r="V48" i="27" s="1"/>
  <c r="AA38" i="27"/>
  <c r="AA50" i="27" s="1"/>
  <c r="M33" i="27"/>
  <c r="M45" i="27" s="1"/>
  <c r="E33" i="27"/>
  <c r="E45" i="27" s="1"/>
  <c r="W32" i="27"/>
  <c r="W44" i="27" s="1"/>
  <c r="O32" i="27"/>
  <c r="O44" i="27" s="1"/>
  <c r="G32" i="27"/>
  <c r="G44" i="27"/>
  <c r="I31" i="27"/>
  <c r="I43" i="27" s="1"/>
  <c r="M36" i="27"/>
  <c r="M48" i="27" s="1"/>
  <c r="D35" i="27"/>
  <c r="D47" i="27" s="1"/>
  <c r="P38" i="27"/>
  <c r="P50" i="27" s="1"/>
  <c r="Z37" i="27"/>
  <c r="Z49" i="27" s="1"/>
  <c r="R37" i="27"/>
  <c r="R49" i="27" s="1"/>
  <c r="J37" i="27"/>
  <c r="J49" i="27" s="1"/>
  <c r="V35" i="27"/>
  <c r="AC35" i="27" s="1"/>
  <c r="N35" i="27"/>
  <c r="N47" i="27" s="1"/>
  <c r="F35" i="27"/>
  <c r="F47" i="27" s="1"/>
  <c r="X34" i="27"/>
  <c r="X46" i="27" s="1"/>
  <c r="P34" i="27"/>
  <c r="P46" i="27" s="1"/>
  <c r="H34" i="27"/>
  <c r="H46" i="27"/>
  <c r="Z33" i="27"/>
  <c r="Z45" i="27" s="1"/>
  <c r="R33" i="27"/>
  <c r="R45" i="27" s="1"/>
  <c r="J33" i="27"/>
  <c r="J45" i="27"/>
  <c r="AB32" i="27"/>
  <c r="AB44" i="27" s="1"/>
  <c r="T32" i="27"/>
  <c r="T44" i="27" s="1"/>
  <c r="L32" i="27"/>
  <c r="L44" i="27" s="1"/>
  <c r="D32" i="27"/>
  <c r="D44" i="27" s="1"/>
  <c r="V31" i="27"/>
  <c r="V43" i="27" s="1"/>
  <c r="N31" i="27"/>
  <c r="N43" i="27" s="1"/>
  <c r="S35" i="27"/>
  <c r="K35" i="27"/>
  <c r="K47" i="27" s="1"/>
  <c r="D34" i="27"/>
  <c r="D46" i="27" s="1"/>
  <c r="V33" i="27"/>
  <c r="V45" i="27"/>
  <c r="Y31" i="27"/>
  <c r="Y43" i="27" s="1"/>
  <c r="Q31" i="27"/>
  <c r="X36" i="27"/>
  <c r="X48" i="27" s="1"/>
  <c r="P36" i="27"/>
  <c r="P48" i="27" s="1"/>
  <c r="H36" i="27"/>
  <c r="H48" i="27" s="1"/>
  <c r="N32" i="27"/>
  <c r="N44" i="27" s="1"/>
  <c r="F32" i="27"/>
  <c r="F44" i="27" s="1"/>
  <c r="X31" i="27"/>
  <c r="X43" i="27" s="1"/>
  <c r="H31" i="27"/>
  <c r="H43" i="27" s="1"/>
  <c r="E36" i="27"/>
  <c r="E48" i="27" s="1"/>
  <c r="W38" i="27"/>
  <c r="W50" i="27"/>
  <c r="O38" i="27"/>
  <c r="O50" i="27" s="1"/>
  <c r="G38" i="27"/>
  <c r="G50" i="27" s="1"/>
  <c r="Y37" i="27"/>
  <c r="Y49" i="27" s="1"/>
  <c r="Q37" i="27"/>
  <c r="I37" i="27"/>
  <c r="I49" i="27" s="1"/>
  <c r="U35" i="27"/>
  <c r="U47" i="27" s="1"/>
  <c r="M35" i="27"/>
  <c r="M47" i="27" s="1"/>
  <c r="E35" i="27"/>
  <c r="E47" i="27" s="1"/>
  <c r="Y33" i="27"/>
  <c r="Y45" i="27" s="1"/>
  <c r="Q33" i="27"/>
  <c r="I33" i="27"/>
  <c r="I45" i="27" s="1"/>
  <c r="AA32" i="27"/>
  <c r="AA44" i="27" s="1"/>
  <c r="S32" i="27"/>
  <c r="K32" i="27"/>
  <c r="K44" i="27" s="1"/>
  <c r="U31" i="27"/>
  <c r="U39" i="27" s="1"/>
  <c r="U51" i="27" s="1"/>
  <c r="M31" i="27"/>
  <c r="M43" i="27" s="1"/>
  <c r="E31" i="27"/>
  <c r="E43" i="27"/>
  <c r="AA36" i="27"/>
  <c r="AA48" i="27" s="1"/>
  <c r="S36" i="27"/>
  <c r="K36" i="27"/>
  <c r="K48" i="27" s="1"/>
  <c r="U36" i="27"/>
  <c r="U48" i="27" s="1"/>
  <c r="AB35" i="27"/>
  <c r="AB47" i="27" s="1"/>
  <c r="T35" i="27"/>
  <c r="T47" i="27" s="1"/>
  <c r="L35" i="27"/>
  <c r="L47" i="27" s="1"/>
  <c r="Z36" i="27"/>
  <c r="Z48" i="27" s="1"/>
  <c r="R36" i="27"/>
  <c r="R48" i="27"/>
  <c r="J36" i="27"/>
  <c r="J48" i="27" s="1"/>
  <c r="U27" i="27"/>
  <c r="U38" i="27"/>
  <c r="U50" i="27"/>
  <c r="M38" i="27"/>
  <c r="M50" i="27" s="1"/>
  <c r="E38" i="27"/>
  <c r="E50" i="27" s="1"/>
  <c r="W37" i="27"/>
  <c r="AC37" i="27" s="1"/>
  <c r="O37" i="27"/>
  <c r="O49" i="27" s="1"/>
  <c r="G37" i="27"/>
  <c r="G49" i="27" s="1"/>
  <c r="AA35" i="27"/>
  <c r="AA47" i="27" s="1"/>
  <c r="U34" i="27"/>
  <c r="U46" i="27"/>
  <c r="M34" i="27"/>
  <c r="M46" i="27" s="1"/>
  <c r="E34" i="27"/>
  <c r="E46" i="27"/>
  <c r="W33" i="27"/>
  <c r="W45" i="27" s="1"/>
  <c r="O33" i="27"/>
  <c r="O45" i="27"/>
  <c r="G33" i="27"/>
  <c r="G39" i="27" s="1"/>
  <c r="G51" i="27" s="1"/>
  <c r="Y32" i="27"/>
  <c r="Y44" i="27" s="1"/>
  <c r="Q32" i="27"/>
  <c r="Q44" i="27" s="1"/>
  <c r="I32" i="27"/>
  <c r="I44" i="27" s="1"/>
  <c r="AA31" i="27"/>
  <c r="AA43" i="27" s="1"/>
  <c r="S31" i="27"/>
  <c r="S39" i="27" s="1"/>
  <c r="S51" i="27" s="1"/>
  <c r="K31" i="27"/>
  <c r="K43" i="27" s="1"/>
  <c r="Y36" i="27"/>
  <c r="Y48" i="27" s="1"/>
  <c r="Q36" i="27"/>
  <c r="I36" i="27"/>
  <c r="I48" i="27" s="1"/>
  <c r="AB34" i="27"/>
  <c r="AB46" i="27" s="1"/>
  <c r="T34" i="27"/>
  <c r="T46" i="27"/>
  <c r="N33" i="27"/>
  <c r="N45" i="27" s="1"/>
  <c r="F33" i="27"/>
  <c r="F45" i="27" s="1"/>
  <c r="F36" i="27"/>
  <c r="F48" i="27" s="1"/>
  <c r="AA37" i="27"/>
  <c r="AA49" i="27" s="1"/>
  <c r="S37" i="27"/>
  <c r="K37" i="27"/>
  <c r="K49" i="27" s="1"/>
  <c r="W35" i="27"/>
  <c r="W47" i="27" s="1"/>
  <c r="O35" i="27"/>
  <c r="O47" i="27" s="1"/>
  <c r="G35" i="27"/>
  <c r="G47" i="27" s="1"/>
  <c r="Y34" i="27"/>
  <c r="Y46" i="27"/>
  <c r="Q34" i="27"/>
  <c r="I34" i="27"/>
  <c r="I46" i="27" s="1"/>
  <c r="AA33" i="27"/>
  <c r="AA45" i="27"/>
  <c r="S33" i="27"/>
  <c r="K33" i="27"/>
  <c r="K45" i="27"/>
  <c r="U32" i="27"/>
  <c r="AC32" i="27" s="1"/>
  <c r="M32" i="27"/>
  <c r="M44" i="27" s="1"/>
  <c r="E32" i="27"/>
  <c r="E44" i="27" s="1"/>
  <c r="P31" i="27"/>
  <c r="P43" i="27" s="1"/>
  <c r="F27" i="27"/>
  <c r="N36" i="27"/>
  <c r="N48" i="27" s="1"/>
  <c r="N27" i="27"/>
  <c r="D36" i="27"/>
  <c r="D48" i="27" s="1"/>
  <c r="M27" i="27"/>
  <c r="W27" i="27"/>
  <c r="O27" i="27"/>
  <c r="G27" i="27"/>
  <c r="C27" i="27"/>
  <c r="U33" i="27"/>
  <c r="U45" i="27" s="1"/>
  <c r="T36" i="27"/>
  <c r="T48" i="27" s="1"/>
  <c r="V38" i="27"/>
  <c r="V50" i="27" s="1"/>
  <c r="N38" i="27"/>
  <c r="N50" i="27" s="1"/>
  <c r="F38" i="27"/>
  <c r="F50" i="27"/>
  <c r="X37" i="27"/>
  <c r="X49" i="27" s="1"/>
  <c r="P37" i="27"/>
  <c r="P49" i="27" s="1"/>
  <c r="H37" i="27"/>
  <c r="H49" i="27" s="1"/>
  <c r="V34" i="27"/>
  <c r="AD34" i="27" s="1"/>
  <c r="N34" i="27"/>
  <c r="N46" i="27"/>
  <c r="F34" i="27"/>
  <c r="F46" i="27" s="1"/>
  <c r="X33" i="27"/>
  <c r="X45" i="27" s="1"/>
  <c r="P33" i="27"/>
  <c r="P45" i="27" s="1"/>
  <c r="H33" i="27"/>
  <c r="H45" i="27" s="1"/>
  <c r="Z32" i="27"/>
  <c r="Z44" i="27" s="1"/>
  <c r="R32" i="27"/>
  <c r="R44" i="27" s="1"/>
  <c r="J32" i="27"/>
  <c r="J39" i="27" s="1"/>
  <c r="AB31" i="27"/>
  <c r="AB43" i="27" s="1"/>
  <c r="T31" i="27"/>
  <c r="T43" i="27" s="1"/>
  <c r="L31" i="27"/>
  <c r="L43" i="27" s="1"/>
  <c r="D31" i="27"/>
  <c r="D43" i="27"/>
  <c r="Y38" i="27"/>
  <c r="Y39" i="27" s="1"/>
  <c r="L36" i="27"/>
  <c r="L48" i="27" s="1"/>
  <c r="G31" i="27"/>
  <c r="E27" i="27"/>
  <c r="I38" i="27"/>
  <c r="I50" i="27" s="1"/>
  <c r="AB36" i="27"/>
  <c r="AB48" i="27"/>
  <c r="AB38" i="27"/>
  <c r="AB50" i="27" s="1"/>
  <c r="T38" i="27"/>
  <c r="T50" i="27" s="1"/>
  <c r="L38" i="27"/>
  <c r="L50" i="27"/>
  <c r="D38" i="27"/>
  <c r="D50" i="27" s="1"/>
  <c r="V37" i="27"/>
  <c r="V49" i="27" s="1"/>
  <c r="N37" i="27"/>
  <c r="N49" i="27" s="1"/>
  <c r="F37" i="27"/>
  <c r="F49" i="27" s="1"/>
  <c r="Z35" i="27"/>
  <c r="Z47" i="27"/>
  <c r="R35" i="27"/>
  <c r="R47" i="27" s="1"/>
  <c r="J35" i="27"/>
  <c r="J47" i="27" s="1"/>
  <c r="X32" i="27"/>
  <c r="X44" i="27"/>
  <c r="P32" i="27"/>
  <c r="P44" i="27" s="1"/>
  <c r="H32" i="27"/>
  <c r="H44" i="27" s="1"/>
  <c r="Z31" i="27"/>
  <c r="Z43" i="27" s="1"/>
  <c r="R31" i="27"/>
  <c r="R43" i="27" s="1"/>
  <c r="J31" i="27"/>
  <c r="J43" i="27"/>
  <c r="O36" i="27"/>
  <c r="O48" i="27" s="1"/>
  <c r="L34" i="27"/>
  <c r="L46" i="27" s="1"/>
  <c r="W36" i="27"/>
  <c r="W48" i="27" s="1"/>
  <c r="G36" i="27"/>
  <c r="G48" i="27" s="1"/>
  <c r="V27" i="27"/>
  <c r="Z38" i="27"/>
  <c r="Z50" i="27"/>
  <c r="R38" i="27"/>
  <c r="R50" i="27" s="1"/>
  <c r="J38" i="27"/>
  <c r="J50" i="27" s="1"/>
  <c r="AB37" i="27"/>
  <c r="AB49" i="27" s="1"/>
  <c r="T37" i="27"/>
  <c r="T49" i="27"/>
  <c r="L37" i="27"/>
  <c r="L39" i="27" s="1"/>
  <c r="L51" i="27" s="1"/>
  <c r="D37" i="27"/>
  <c r="D49" i="27" s="1"/>
  <c r="X35" i="27"/>
  <c r="X47" i="27"/>
  <c r="P35" i="27"/>
  <c r="P47" i="27" s="1"/>
  <c r="H35" i="27"/>
  <c r="H47" i="27"/>
  <c r="Z34" i="27"/>
  <c r="Z46" i="27" s="1"/>
  <c r="R34" i="27"/>
  <c r="R46" i="27" s="1"/>
  <c r="J34" i="27"/>
  <c r="J46" i="27" s="1"/>
  <c r="AB33" i="27"/>
  <c r="AB45" i="27"/>
  <c r="T33" i="27"/>
  <c r="T45" i="27" s="1"/>
  <c r="L33" i="27"/>
  <c r="L45" i="27" s="1"/>
  <c r="D33" i="27"/>
  <c r="D45" i="27"/>
  <c r="V32" i="27"/>
  <c r="V44" i="27" s="1"/>
  <c r="S20" i="29"/>
  <c r="K20" i="29"/>
  <c r="K23" i="29" s="1"/>
  <c r="K30" i="29" s="1"/>
  <c r="R16" i="29"/>
  <c r="J16" i="29"/>
  <c r="Q22" i="29"/>
  <c r="Q29" i="29"/>
  <c r="Q20" i="29"/>
  <c r="P16" i="29"/>
  <c r="H16" i="29"/>
  <c r="H22" i="29"/>
  <c r="H29" i="29" s="1"/>
  <c r="H20" i="29"/>
  <c r="V16" i="29"/>
  <c r="N16" i="29"/>
  <c r="F16" i="29"/>
  <c r="V20" i="29"/>
  <c r="N20" i="29"/>
  <c r="F20" i="29"/>
  <c r="F23" i="29" s="1"/>
  <c r="F30" i="29" s="1"/>
  <c r="U16" i="29"/>
  <c r="M16" i="29"/>
  <c r="E16" i="29"/>
  <c r="S22" i="28"/>
  <c r="S29" i="28" s="1"/>
  <c r="K22" i="28"/>
  <c r="K29" i="28" s="1"/>
  <c r="W21" i="28"/>
  <c r="W28" i="28"/>
  <c r="O21" i="28"/>
  <c r="O28" i="28" s="1"/>
  <c r="G21" i="28"/>
  <c r="G28" i="28" s="1"/>
  <c r="S20" i="28"/>
  <c r="K20" i="28"/>
  <c r="R16" i="28"/>
  <c r="J16" i="28"/>
  <c r="P16" i="28"/>
  <c r="H16" i="28"/>
  <c r="O16" i="28"/>
  <c r="G16" i="28"/>
  <c r="W20" i="28"/>
  <c r="O20" i="28"/>
  <c r="G20" i="28"/>
  <c r="V16" i="28"/>
  <c r="N16" i="28"/>
  <c r="F16" i="28"/>
  <c r="U20" i="28"/>
  <c r="U23" i="28" s="1"/>
  <c r="U30" i="28" s="1"/>
  <c r="M20" i="28"/>
  <c r="E20" i="28"/>
  <c r="T16" i="28"/>
  <c r="L16" i="28"/>
  <c r="D16" i="28"/>
  <c r="X27" i="27"/>
  <c r="P27" i="27"/>
  <c r="H27" i="27"/>
  <c r="W34" i="27"/>
  <c r="W46" i="27" s="1"/>
  <c r="O34" i="27"/>
  <c r="O46" i="27" s="1"/>
  <c r="G34" i="27"/>
  <c r="G46" i="27" s="1"/>
  <c r="Q38" i="27"/>
  <c r="H38" i="27"/>
  <c r="H50" i="27" s="1"/>
  <c r="W31" i="27"/>
  <c r="W39" i="27" s="1"/>
  <c r="W51" i="27" s="1"/>
  <c r="X38" i="27"/>
  <c r="X50" i="27" s="1"/>
  <c r="O31" i="27"/>
  <c r="AB27" i="27"/>
  <c r="T27" i="27"/>
  <c r="L27" i="27"/>
  <c r="D27" i="27"/>
  <c r="F31" i="27"/>
  <c r="AA27" i="27"/>
  <c r="AB51" i="27" s="1"/>
  <c r="S27" i="27"/>
  <c r="K27" i="27"/>
  <c r="Z27" i="27"/>
  <c r="R27" i="27"/>
  <c r="J27" i="27"/>
  <c r="Y27" i="27"/>
  <c r="Q27" i="27"/>
  <c r="I27" i="27"/>
  <c r="X32" i="26"/>
  <c r="X44" i="26" s="1"/>
  <c r="P32" i="26"/>
  <c r="P44" i="26" s="1"/>
  <c r="H32" i="26"/>
  <c r="H44" i="26" s="1"/>
  <c r="W27" i="26"/>
  <c r="V27" i="26"/>
  <c r="N27" i="26"/>
  <c r="F27" i="26"/>
  <c r="O32" i="26"/>
  <c r="O44" i="26" s="1"/>
  <c r="G32" i="26"/>
  <c r="G44" i="26" s="1"/>
  <c r="U33" i="26"/>
  <c r="U45" i="26" s="1"/>
  <c r="M33" i="26"/>
  <c r="M45" i="26" s="1"/>
  <c r="E33" i="26"/>
  <c r="E45" i="26" s="1"/>
  <c r="AB27" i="26"/>
  <c r="T27" i="26"/>
  <c r="L27" i="26"/>
  <c r="D27" i="26"/>
  <c r="AA27" i="26"/>
  <c r="S27" i="26"/>
  <c r="K27" i="26"/>
  <c r="F6" i="21"/>
  <c r="W8" i="39"/>
  <c r="W31" i="39" s="1"/>
  <c r="J23" i="29"/>
  <c r="J30" i="29" s="1"/>
  <c r="W19" i="39"/>
  <c r="W42" i="39" s="1"/>
  <c r="T23" i="28"/>
  <c r="T30" i="28" s="1"/>
  <c r="H27" i="28"/>
  <c r="F23" i="28"/>
  <c r="F30" i="28" s="1"/>
  <c r="O23" i="29"/>
  <c r="Z99" i="26"/>
  <c r="V23" i="28"/>
  <c r="V30" i="28"/>
  <c r="O41" i="41"/>
  <c r="I29" i="37"/>
  <c r="I53" i="37" s="1"/>
  <c r="I23" i="28"/>
  <c r="I30" i="28" s="1"/>
  <c r="D23" i="28"/>
  <c r="P23" i="28"/>
  <c r="Q27" i="28"/>
  <c r="I29" i="39"/>
  <c r="I53" i="39" s="1"/>
  <c r="C9" i="25"/>
  <c r="G21" i="25"/>
  <c r="G17" i="25"/>
  <c r="W23" i="29"/>
  <c r="W30" i="29" s="1"/>
  <c r="D23" i="29"/>
  <c r="D30" i="29" s="1"/>
  <c r="P13" i="41"/>
  <c r="P36" i="41" s="1"/>
  <c r="F3" i="25"/>
  <c r="N29" i="37"/>
  <c r="R6" i="39"/>
  <c r="I6" i="25"/>
  <c r="Q29" i="39"/>
  <c r="Q53" i="39" s="1"/>
  <c r="C21" i="25"/>
  <c r="C17" i="25"/>
  <c r="O44" i="41"/>
  <c r="H3" i="25"/>
  <c r="P29" i="37"/>
  <c r="P53" i="37" s="1"/>
  <c r="F17" i="25"/>
  <c r="D27" i="28"/>
  <c r="D6" i="25"/>
  <c r="L29" i="39"/>
  <c r="L53" i="39" s="1"/>
  <c r="P12" i="41"/>
  <c r="Q12" i="41" s="1"/>
  <c r="G3" i="25"/>
  <c r="O29" i="37"/>
  <c r="O53" i="37" s="1"/>
  <c r="H6" i="25"/>
  <c r="P29" i="39"/>
  <c r="P53" i="39" s="1"/>
  <c r="D3" i="25"/>
  <c r="L29" i="37"/>
  <c r="L53" i="37" s="1"/>
  <c r="I27" i="28"/>
  <c r="M29" i="37"/>
  <c r="J29" i="39"/>
  <c r="J53" i="39"/>
  <c r="X22" i="39"/>
  <c r="Y22" i="39" s="1"/>
  <c r="G181" i="21"/>
  <c r="G136" i="21"/>
  <c r="AD98" i="27"/>
  <c r="AC98" i="27" s="1"/>
  <c r="V98" i="27"/>
  <c r="V62" i="27"/>
  <c r="AD96" i="26"/>
  <c r="AC96" i="26" s="1"/>
  <c r="X99" i="26"/>
  <c r="AB99" i="26"/>
  <c r="W99" i="26"/>
  <c r="AE96" i="26"/>
  <c r="AE91" i="26"/>
  <c r="AE97" i="26"/>
  <c r="V97" i="26" s="1"/>
  <c r="V61" i="26" s="1"/>
  <c r="AD30" i="32"/>
  <c r="AC30" i="32"/>
  <c r="AD35" i="32"/>
  <c r="S44" i="27"/>
  <c r="Q49" i="27"/>
  <c r="AD37" i="27"/>
  <c r="S46" i="27"/>
  <c r="Q46" i="27"/>
  <c r="Q47" i="27"/>
  <c r="S45" i="27"/>
  <c r="Q45" i="27"/>
  <c r="AD45" i="27" s="1"/>
  <c r="S47" i="27"/>
  <c r="Q50" i="27"/>
  <c r="S48" i="27"/>
  <c r="AC48" i="27" s="1"/>
  <c r="S49" i="27"/>
  <c r="Q48" i="27"/>
  <c r="Q43" i="27"/>
  <c r="S43" i="27"/>
  <c r="I33" i="25"/>
  <c r="F33" i="25"/>
  <c r="Y70" i="26"/>
  <c r="Z74" i="26"/>
  <c r="G37" i="25"/>
  <c r="F37" i="25"/>
  <c r="O31" i="40"/>
  <c r="P8" i="40"/>
  <c r="O42" i="41"/>
  <c r="P19" i="41"/>
  <c r="O30" i="41"/>
  <c r="O25" i="41"/>
  <c r="P7" i="41"/>
  <c r="O33" i="41"/>
  <c r="P10" i="41"/>
  <c r="Q10" i="41" s="1"/>
  <c r="O31" i="41"/>
  <c r="P8" i="41"/>
  <c r="Q18" i="41"/>
  <c r="Q21" i="41"/>
  <c r="P44" i="41"/>
  <c r="O47" i="41"/>
  <c r="P24" i="41"/>
  <c r="O46" i="40"/>
  <c r="P23" i="40"/>
  <c r="O33" i="40"/>
  <c r="P10" i="40"/>
  <c r="P42" i="40"/>
  <c r="Q19" i="40"/>
  <c r="O45" i="40"/>
  <c r="P22" i="40"/>
  <c r="P45" i="40" s="1"/>
  <c r="P38" i="40"/>
  <c r="Q15" i="40"/>
  <c r="R15" i="40" s="1"/>
  <c r="R38" i="40" s="1"/>
  <c r="O43" i="40"/>
  <c r="P20" i="40"/>
  <c r="O37" i="40"/>
  <c r="P14" i="40"/>
  <c r="W39" i="39"/>
  <c r="X16" i="39"/>
  <c r="W35" i="39"/>
  <c r="X12" i="39"/>
  <c r="P37" i="38"/>
  <c r="Q14" i="38"/>
  <c r="O48" i="38"/>
  <c r="P25" i="38"/>
  <c r="O46" i="38"/>
  <c r="P23" i="38"/>
  <c r="Q32" i="38"/>
  <c r="R9" i="38"/>
  <c r="S9" i="38" s="1"/>
  <c r="O47" i="38"/>
  <c r="P24" i="38"/>
  <c r="O43" i="38"/>
  <c r="P20" i="38"/>
  <c r="W18" i="37"/>
  <c r="V41" i="37"/>
  <c r="W19" i="37"/>
  <c r="X19" i="37" s="1"/>
  <c r="V42" i="37"/>
  <c r="V40" i="37"/>
  <c r="W17" i="37"/>
  <c r="W10" i="37"/>
  <c r="V25" i="37"/>
  <c r="V30" i="37"/>
  <c r="W7" i="37"/>
  <c r="M59" i="30"/>
  <c r="M60" i="30"/>
  <c r="M55" i="30"/>
  <c r="AC26" i="34"/>
  <c r="W38" i="34"/>
  <c r="AC36" i="34"/>
  <c r="AD36" i="34"/>
  <c r="AC31" i="33"/>
  <c r="AD31" i="33"/>
  <c r="W38" i="32"/>
  <c r="S50" i="26"/>
  <c r="AC38" i="26"/>
  <c r="S47" i="26"/>
  <c r="Q50" i="26"/>
  <c r="AD38" i="26"/>
  <c r="Q43" i="26"/>
  <c r="Q45" i="26"/>
  <c r="AD33" i="26"/>
  <c r="S45" i="26"/>
  <c r="AC33" i="26"/>
  <c r="J33" i="25"/>
  <c r="S46" i="26"/>
  <c r="AC34" i="26"/>
  <c r="Q48" i="26"/>
  <c r="AD36" i="26"/>
  <c r="S48" i="26"/>
  <c r="AC48" i="26" s="1"/>
  <c r="AC36" i="26"/>
  <c r="S44" i="26"/>
  <c r="Q46" i="26"/>
  <c r="AD34" i="26"/>
  <c r="Q47" i="26"/>
  <c r="Q49" i="26"/>
  <c r="AD49" i="26" s="1"/>
  <c r="S49" i="26"/>
  <c r="K36" i="25"/>
  <c r="AF73" i="26"/>
  <c r="Q44" i="26"/>
  <c r="AD32" i="26"/>
  <c r="P23" i="29"/>
  <c r="P30" i="29"/>
  <c r="R23" i="28"/>
  <c r="R30" i="28" s="1"/>
  <c r="S39" i="26"/>
  <c r="S51" i="26" s="1"/>
  <c r="Q39" i="26"/>
  <c r="Q51" i="26"/>
  <c r="N39" i="26"/>
  <c r="N51" i="26"/>
  <c r="R39" i="26"/>
  <c r="R51" i="26" s="1"/>
  <c r="V39" i="26"/>
  <c r="V51" i="26" s="1"/>
  <c r="L39" i="26"/>
  <c r="L51" i="26" s="1"/>
  <c r="Z39" i="26"/>
  <c r="V43" i="26"/>
  <c r="J39" i="26"/>
  <c r="J51" i="26" s="1"/>
  <c r="K39" i="26"/>
  <c r="K51" i="26"/>
  <c r="AB39" i="26"/>
  <c r="AB51" i="26" s="1"/>
  <c r="I39" i="26"/>
  <c r="I51" i="26" s="1"/>
  <c r="Y39" i="26"/>
  <c r="Y51" i="26" s="1"/>
  <c r="O39" i="26"/>
  <c r="O51" i="26" s="1"/>
  <c r="Y51" i="27"/>
  <c r="AB39" i="27"/>
  <c r="M39" i="27"/>
  <c r="M51" i="27" s="1"/>
  <c r="R39" i="27"/>
  <c r="R51" i="27"/>
  <c r="E39" i="27"/>
  <c r="E51" i="27" s="1"/>
  <c r="H39" i="27"/>
  <c r="H51" i="27"/>
  <c r="G43" i="27"/>
  <c r="D39" i="27"/>
  <c r="D51" i="27"/>
  <c r="Z39" i="27"/>
  <c r="Z51" i="27" s="1"/>
  <c r="Q39" i="27"/>
  <c r="Q51" i="27" s="1"/>
  <c r="T39" i="27"/>
  <c r="T51" i="27" s="1"/>
  <c r="J51" i="27"/>
  <c r="P39" i="27"/>
  <c r="P51" i="27" s="1"/>
  <c r="V39" i="27"/>
  <c r="V51" i="27" s="1"/>
  <c r="V27" i="29"/>
  <c r="Q23" i="29"/>
  <c r="Q30" i="29" s="1"/>
  <c r="Q27" i="29"/>
  <c r="H23" i="29"/>
  <c r="H27" i="29"/>
  <c r="K27" i="29"/>
  <c r="S23" i="29"/>
  <c r="S30" i="29" s="1"/>
  <c r="S27" i="29"/>
  <c r="F27" i="29"/>
  <c r="N27" i="29"/>
  <c r="G27" i="28"/>
  <c r="G23" i="28"/>
  <c r="G30" i="28" s="1"/>
  <c r="O27" i="28"/>
  <c r="K23" i="28"/>
  <c r="K30" i="28" s="1"/>
  <c r="K27" i="28"/>
  <c r="E27" i="28"/>
  <c r="E23" i="28"/>
  <c r="E30" i="28" s="1"/>
  <c r="M27" i="28"/>
  <c r="M23" i="28"/>
  <c r="M30" i="28" s="1"/>
  <c r="W27" i="28"/>
  <c r="S23" i="28"/>
  <c r="S30" i="28" s="1"/>
  <c r="S27" i="28"/>
  <c r="U27" i="28"/>
  <c r="O43" i="27"/>
  <c r="X39" i="27"/>
  <c r="X51" i="27" s="1"/>
  <c r="F43" i="27"/>
  <c r="M39" i="26"/>
  <c r="M51" i="26"/>
  <c r="H39" i="26"/>
  <c r="H51" i="26" s="1"/>
  <c r="E39" i="26"/>
  <c r="E51" i="26" s="1"/>
  <c r="X39" i="26"/>
  <c r="X51" i="26" s="1"/>
  <c r="P39" i="26"/>
  <c r="P51" i="26" s="1"/>
  <c r="X8" i="39"/>
  <c r="X31" i="39" s="1"/>
  <c r="Q13" i="41"/>
  <c r="Q36" i="41" s="1"/>
  <c r="X19" i="39"/>
  <c r="Y19" i="39" s="1"/>
  <c r="G9" i="25"/>
  <c r="F9" i="25"/>
  <c r="P35" i="41"/>
  <c r="J6" i="25"/>
  <c r="J17" i="25" s="1"/>
  <c r="R29" i="39"/>
  <c r="R53" i="39" s="1"/>
  <c r="X45" i="39"/>
  <c r="V74" i="27"/>
  <c r="C64" i="25"/>
  <c r="M53" i="37"/>
  <c r="H9" i="25"/>
  <c r="H17" i="25"/>
  <c r="H21" i="25"/>
  <c r="F16" i="25"/>
  <c r="H20" i="25"/>
  <c r="H16" i="25"/>
  <c r="C20" i="25"/>
  <c r="C16" i="25"/>
  <c r="I21" i="25"/>
  <c r="I17" i="25"/>
  <c r="G20" i="25"/>
  <c r="G16" i="25"/>
  <c r="D21" i="25"/>
  <c r="D9" i="25"/>
  <c r="D17" i="25"/>
  <c r="R136" i="21"/>
  <c r="P136" i="21"/>
  <c r="P181" i="21"/>
  <c r="R181" i="21"/>
  <c r="V96" i="26"/>
  <c r="V60" i="26" s="1"/>
  <c r="W72" i="26" s="1"/>
  <c r="V91" i="26"/>
  <c r="V55" i="26"/>
  <c r="AF85" i="26"/>
  <c r="V85" i="26"/>
  <c r="V82" i="26"/>
  <c r="Y82" i="26"/>
  <c r="Z86" i="26"/>
  <c r="E33" i="25"/>
  <c r="X70" i="26"/>
  <c r="H37" i="25"/>
  <c r="AA74" i="26"/>
  <c r="AA86" i="26" s="1"/>
  <c r="AE58" i="26"/>
  <c r="AD45" i="32" s="1"/>
  <c r="D33" i="25"/>
  <c r="G33" i="25"/>
  <c r="Z70" i="26"/>
  <c r="AB74" i="26"/>
  <c r="I37" i="25"/>
  <c r="AC70" i="26"/>
  <c r="AF58" i="26"/>
  <c r="AA70" i="26"/>
  <c r="H33" i="25"/>
  <c r="AB70" i="26"/>
  <c r="P31" i="40"/>
  <c r="Q8" i="40"/>
  <c r="Q44" i="41"/>
  <c r="R21" i="41"/>
  <c r="P31" i="41"/>
  <c r="Q8" i="41"/>
  <c r="P30" i="41"/>
  <c r="P25" i="41"/>
  <c r="Q7" i="41"/>
  <c r="Q41" i="41"/>
  <c r="R18" i="41"/>
  <c r="P33" i="41"/>
  <c r="Q19" i="41"/>
  <c r="R19" i="41" s="1"/>
  <c r="S19" i="41" s="1"/>
  <c r="P42" i="41"/>
  <c r="P46" i="40"/>
  <c r="Q23" i="40"/>
  <c r="P43" i="40"/>
  <c r="Q20" i="40"/>
  <c r="P33" i="40"/>
  <c r="Q10" i="40"/>
  <c r="Q42" i="40"/>
  <c r="R19" i="40"/>
  <c r="Q38" i="40"/>
  <c r="P37" i="40"/>
  <c r="Q14" i="40"/>
  <c r="X39" i="39"/>
  <c r="Y16" i="39"/>
  <c r="Z22" i="39"/>
  <c r="Y45" i="39"/>
  <c r="X35" i="39"/>
  <c r="Y12" i="39"/>
  <c r="Q37" i="38"/>
  <c r="R14" i="38"/>
  <c r="P47" i="38"/>
  <c r="Q24" i="38"/>
  <c r="R24" i="38" s="1"/>
  <c r="S24" i="38" s="1"/>
  <c r="P48" i="38"/>
  <c r="Q25" i="38"/>
  <c r="Q48" i="38" s="1"/>
  <c r="R32" i="38"/>
  <c r="P43" i="38"/>
  <c r="Q20" i="38"/>
  <c r="X18" i="37"/>
  <c r="W41" i="37"/>
  <c r="W40" i="37"/>
  <c r="X17" i="37"/>
  <c r="W42" i="37"/>
  <c r="G133" i="21"/>
  <c r="G178" i="21"/>
  <c r="W30" i="37"/>
  <c r="X7" i="37"/>
  <c r="W25" i="37"/>
  <c r="W48" i="37" s="1"/>
  <c r="AD46" i="26"/>
  <c r="R13" i="41"/>
  <c r="S13" i="41" s="1"/>
  <c r="X42" i="39"/>
  <c r="W67" i="26"/>
  <c r="V42" i="32"/>
  <c r="J21" i="25"/>
  <c r="V86" i="27"/>
  <c r="C30" i="25"/>
  <c r="AB82" i="26"/>
  <c r="AA82" i="26"/>
  <c r="AC82" i="26"/>
  <c r="AB86" i="26"/>
  <c r="X82" i="26"/>
  <c r="AE70" i="26"/>
  <c r="AF62" i="26"/>
  <c r="AC74" i="26"/>
  <c r="AC86" i="26" s="1"/>
  <c r="AC87" i="26" s="1"/>
  <c r="AC55" i="26" s="1"/>
  <c r="J37" i="25"/>
  <c r="Q31" i="40"/>
  <c r="R8" i="40"/>
  <c r="P49" i="41"/>
  <c r="Q31" i="41"/>
  <c r="R8" i="41"/>
  <c r="R31" i="41" s="1"/>
  <c r="Q42" i="41"/>
  <c r="S18" i="41"/>
  <c r="T18" i="41" s="1"/>
  <c r="T41" i="41" s="1"/>
  <c r="R41" i="41"/>
  <c r="Q30" i="41"/>
  <c r="Q25" i="41"/>
  <c r="Q48" i="41" s="1"/>
  <c r="R7" i="41"/>
  <c r="R20" i="40"/>
  <c r="Q43" i="40"/>
  <c r="S15" i="40"/>
  <c r="S38" i="40" s="1"/>
  <c r="Q33" i="40"/>
  <c r="R10" i="40"/>
  <c r="Q46" i="40"/>
  <c r="R23" i="40"/>
  <c r="Q37" i="40"/>
  <c r="R14" i="40"/>
  <c r="R42" i="40"/>
  <c r="S19" i="40"/>
  <c r="S42" i="40" s="1"/>
  <c r="Y35" i="39"/>
  <c r="Z12" i="39"/>
  <c r="AA12" i="39" s="1"/>
  <c r="Y39" i="39"/>
  <c r="Z16" i="39"/>
  <c r="Q47" i="38"/>
  <c r="R25" i="38"/>
  <c r="R48" i="38" s="1"/>
  <c r="Q43" i="38"/>
  <c r="R20" i="38"/>
  <c r="S20" i="38" s="1"/>
  <c r="R37" i="38"/>
  <c r="S14" i="38"/>
  <c r="T14" i="38" s="1"/>
  <c r="U14" i="38" s="1"/>
  <c r="Y17" i="37"/>
  <c r="X40" i="37"/>
  <c r="Y18" i="37"/>
  <c r="X41" i="37"/>
  <c r="W49" i="37"/>
  <c r="R36" i="41"/>
  <c r="W79" i="26"/>
  <c r="AE79" i="26" s="1"/>
  <c r="V47" i="32"/>
  <c r="AF49" i="32"/>
  <c r="C35" i="25"/>
  <c r="V79" i="26"/>
  <c r="V84" i="26"/>
  <c r="AF74" i="26"/>
  <c r="AF86" i="26" s="1"/>
  <c r="K37" i="25"/>
  <c r="R177" i="21"/>
  <c r="R31" i="40"/>
  <c r="S8" i="40"/>
  <c r="S41" i="41"/>
  <c r="S8" i="41"/>
  <c r="R42" i="41"/>
  <c r="R37" i="40"/>
  <c r="S14" i="40"/>
  <c r="R46" i="40"/>
  <c r="S23" i="40"/>
  <c r="R43" i="40"/>
  <c r="S20" i="40"/>
  <c r="T20" i="40" s="1"/>
  <c r="T19" i="40"/>
  <c r="T42" i="40" s="1"/>
  <c r="R33" i="40"/>
  <c r="S10" i="40"/>
  <c r="Z39" i="39"/>
  <c r="AA16" i="39"/>
  <c r="Z35" i="39"/>
  <c r="S37" i="38"/>
  <c r="S25" i="38"/>
  <c r="S48" i="38" s="1"/>
  <c r="Z18" i="37"/>
  <c r="Y41" i="37"/>
  <c r="Y40" i="37"/>
  <c r="Z17" i="37"/>
  <c r="AA17" i="37" s="1"/>
  <c r="AB17" i="37" s="1"/>
  <c r="AD79" i="26"/>
  <c r="W84" i="26"/>
  <c r="T8" i="40"/>
  <c r="S31" i="40"/>
  <c r="S42" i="41"/>
  <c r="T19" i="41"/>
  <c r="U19" i="41" s="1"/>
  <c r="S31" i="41"/>
  <c r="T8" i="41"/>
  <c r="U18" i="41"/>
  <c r="S43" i="40"/>
  <c r="T23" i="40"/>
  <c r="S46" i="40"/>
  <c r="T14" i="40"/>
  <c r="S37" i="40"/>
  <c r="T10" i="40"/>
  <c r="U10" i="40" s="1"/>
  <c r="S33" i="40"/>
  <c r="AA35" i="39"/>
  <c r="AB12" i="39"/>
  <c r="AA39" i="39"/>
  <c r="AB16" i="39"/>
  <c r="T25" i="38"/>
  <c r="T48" i="38" s="1"/>
  <c r="AA18" i="37"/>
  <c r="AB18" i="37" s="1"/>
  <c r="Z41" i="37"/>
  <c r="AE84" i="26"/>
  <c r="AD84" i="26"/>
  <c r="V80" i="26"/>
  <c r="V75" i="26"/>
  <c r="T31" i="40"/>
  <c r="U8" i="40"/>
  <c r="U41" i="41"/>
  <c r="V18" i="41"/>
  <c r="V41" i="41" s="1"/>
  <c r="U8" i="41"/>
  <c r="U31" i="41" s="1"/>
  <c r="T31" i="41"/>
  <c r="T37" i="40"/>
  <c r="U14" i="40"/>
  <c r="U37" i="40" s="1"/>
  <c r="T33" i="40"/>
  <c r="T43" i="40"/>
  <c r="U20" i="40"/>
  <c r="U43" i="40" s="1"/>
  <c r="AC12" i="39"/>
  <c r="AB35" i="39"/>
  <c r="AC16" i="39"/>
  <c r="AC39" i="39" s="1"/>
  <c r="AB39" i="39"/>
  <c r="V14" i="38"/>
  <c r="U37" i="38"/>
  <c r="V87" i="26"/>
  <c r="V62" i="32"/>
  <c r="AG84" i="26"/>
  <c r="AH84" i="26" s="1"/>
  <c r="AI84" i="26" s="1"/>
  <c r="AJ84" i="26" s="1"/>
  <c r="AK84" i="26" s="1"/>
  <c r="AL84" i="26" s="1"/>
  <c r="AM84" i="26" s="1"/>
  <c r="AN84" i="26" s="1"/>
  <c r="AO84" i="26" s="1"/>
  <c r="V81" i="26"/>
  <c r="V86" i="26"/>
  <c r="V83" i="26"/>
  <c r="U31" i="40"/>
  <c r="V8" i="40"/>
  <c r="W8" i="40" s="1"/>
  <c r="W31" i="40" s="1"/>
  <c r="V8" i="41"/>
  <c r="V31" i="41" s="1"/>
  <c r="V14" i="40"/>
  <c r="V37" i="40" s="1"/>
  <c r="AC35" i="39"/>
  <c r="AD12" i="39"/>
  <c r="AD35" i="39" s="1"/>
  <c r="AD16" i="39"/>
  <c r="AD39" i="39" s="1"/>
  <c r="V31" i="40"/>
  <c r="J19" i="19"/>
  <c r="I19" i="19"/>
  <c r="J10" i="18"/>
  <c r="J9" i="18"/>
  <c r="F6" i="18"/>
  <c r="J6" i="18" s="1"/>
  <c r="F7" i="18"/>
  <c r="F8" i="18"/>
  <c r="F11" i="18"/>
  <c r="F5" i="18"/>
  <c r="J5" i="18" s="1"/>
  <c r="I6" i="18"/>
  <c r="I5" i="18"/>
  <c r="F9" i="16"/>
  <c r="J9" i="16" s="1"/>
  <c r="F6" i="16"/>
  <c r="J6" i="16"/>
  <c r="F7" i="16"/>
  <c r="J7" i="16"/>
  <c r="J14" i="16" s="1"/>
  <c r="F8" i="16"/>
  <c r="J8" i="16"/>
  <c r="F5" i="16"/>
  <c r="J5" i="16" s="1"/>
  <c r="I6" i="16"/>
  <c r="I5" i="16"/>
  <c r="J35" i="25"/>
  <c r="AC72" i="26"/>
  <c r="AC84" i="26" s="1"/>
  <c r="AF60" i="26"/>
  <c r="AF47" i="32" s="1"/>
  <c r="G19" i="21"/>
  <c r="R19" i="21" s="1"/>
  <c r="S19" i="21" s="1"/>
  <c r="T19" i="21" s="1"/>
  <c r="H178" i="30"/>
  <c r="H11" i="21"/>
  <c r="R11" i="21" s="1"/>
  <c r="H180" i="30"/>
  <c r="H188" i="30"/>
  <c r="H182" i="30"/>
  <c r="H185" i="30"/>
  <c r="H183" i="30"/>
  <c r="H189" i="30"/>
  <c r="H187" i="30"/>
  <c r="H192" i="30"/>
  <c r="G18" i="21"/>
  <c r="R20" i="21"/>
  <c r="Q20" i="21" s="1"/>
  <c r="P21" i="21"/>
  <c r="Y21" i="21" s="1"/>
  <c r="X21" i="21"/>
  <c r="U21" i="21"/>
  <c r="F16" i="24"/>
  <c r="J16" i="24"/>
  <c r="F17" i="24"/>
  <c r="J17" i="24"/>
  <c r="J21" i="24"/>
  <c r="J22" i="24"/>
  <c r="Q63" i="21"/>
  <c r="C3" i="28"/>
  <c r="C1" i="28"/>
  <c r="C3" i="29"/>
  <c r="C1" i="29"/>
  <c r="S47" i="38" l="1"/>
  <c r="T24" i="38"/>
  <c r="AE42" i="32"/>
  <c r="J30" i="25"/>
  <c r="AC67" i="26"/>
  <c r="AC79" i="26" s="1"/>
  <c r="AF55" i="26"/>
  <c r="AB40" i="37"/>
  <c r="AC17" i="37"/>
  <c r="T20" i="38"/>
  <c r="S43" i="38"/>
  <c r="U25" i="38"/>
  <c r="U48" i="38" s="1"/>
  <c r="U19" i="40"/>
  <c r="R47" i="38"/>
  <c r="T15" i="40"/>
  <c r="S7" i="41"/>
  <c r="R25" i="41"/>
  <c r="X25" i="37"/>
  <c r="Y7" i="37"/>
  <c r="P48" i="41"/>
  <c r="Q49" i="41"/>
  <c r="S32" i="38"/>
  <c r="T9" i="38"/>
  <c r="V20" i="40"/>
  <c r="AA41" i="37"/>
  <c r="Z40" i="37"/>
  <c r="AD70" i="26"/>
  <c r="Z82" i="26"/>
  <c r="AD48" i="27"/>
  <c r="C36" i="25"/>
  <c r="V48" i="32"/>
  <c r="W73" i="26"/>
  <c r="W85" i="26" s="1"/>
  <c r="N53" i="37"/>
  <c r="T53" i="37" s="1"/>
  <c r="V53" i="37" s="1"/>
  <c r="W53" i="37" s="1"/>
  <c r="X53" i="37" s="1"/>
  <c r="Y53" i="37" s="1"/>
  <c r="Z53" i="37" s="1"/>
  <c r="AA53" i="37" s="1"/>
  <c r="AB53" i="37" s="1"/>
  <c r="AC53" i="37" s="1"/>
  <c r="AD53" i="37" s="1"/>
  <c r="T29" i="37"/>
  <c r="AE21" i="21"/>
  <c r="R30" i="41"/>
  <c r="P46" i="38"/>
  <c r="Q23" i="38"/>
  <c r="Q35" i="41"/>
  <c r="R12" i="41"/>
  <c r="AD50" i="27"/>
  <c r="X10" i="37"/>
  <c r="W33" i="37"/>
  <c r="W8" i="41"/>
  <c r="W31" i="41" s="1"/>
  <c r="AA40" i="37"/>
  <c r="AD82" i="26"/>
  <c r="AE82" i="26"/>
  <c r="R43" i="38"/>
  <c r="AA22" i="39"/>
  <c r="Z45" i="39"/>
  <c r="R44" i="41"/>
  <c r="S21" i="41"/>
  <c r="AF70" i="26"/>
  <c r="AF82" i="26" s="1"/>
  <c r="AF45" i="32"/>
  <c r="K33" i="25"/>
  <c r="D20" i="25"/>
  <c r="D16" i="25"/>
  <c r="AD44" i="26"/>
  <c r="K35" i="25"/>
  <c r="AA21" i="21"/>
  <c r="AF72" i="26"/>
  <c r="AF84" i="26" s="1"/>
  <c r="T37" i="38"/>
  <c r="X30" i="37"/>
  <c r="X42" i="37"/>
  <c r="Y19" i="37"/>
  <c r="Q24" i="41"/>
  <c r="P47" i="41"/>
  <c r="Q33" i="41"/>
  <c r="R10" i="41"/>
  <c r="Y8" i="39"/>
  <c r="W43" i="27"/>
  <c r="I39" i="27"/>
  <c r="I51" i="27" s="1"/>
  <c r="K39" i="27"/>
  <c r="K51" i="27" s="1"/>
  <c r="F39" i="26"/>
  <c r="F51" i="26" s="1"/>
  <c r="AD37" i="26"/>
  <c r="AC31" i="27"/>
  <c r="AC36" i="27"/>
  <c r="AD33" i="27"/>
  <c r="P30" i="28"/>
  <c r="O30" i="29"/>
  <c r="L49" i="27"/>
  <c r="Y50" i="27"/>
  <c r="AC50" i="27" s="1"/>
  <c r="J44" i="27"/>
  <c r="U44" i="27"/>
  <c r="AC44" i="27" s="1"/>
  <c r="G45" i="27"/>
  <c r="W49" i="27"/>
  <c r="AD49" i="27" s="1"/>
  <c r="U43" i="27"/>
  <c r="V47" i="27"/>
  <c r="G45" i="26"/>
  <c r="W50" i="26"/>
  <c r="AD50" i="26" s="1"/>
  <c r="V21" i="39"/>
  <c r="U44" i="39"/>
  <c r="U68" i="39" s="1"/>
  <c r="E3" i="25"/>
  <c r="N40" i="41"/>
  <c r="N64" i="41" s="1"/>
  <c r="O17" i="41"/>
  <c r="O23" i="28"/>
  <c r="O30" i="28" s="1"/>
  <c r="AD51" i="27"/>
  <c r="U39" i="26"/>
  <c r="U51" i="26" s="1"/>
  <c r="AD35" i="26"/>
  <c r="AD31" i="27"/>
  <c r="AD32" i="27"/>
  <c r="AC33" i="27"/>
  <c r="AC49" i="27"/>
  <c r="F39" i="27"/>
  <c r="F51" i="27" s="1"/>
  <c r="O39" i="27"/>
  <c r="O51" i="27" s="1"/>
  <c r="N39" i="27"/>
  <c r="N51" i="27" s="1"/>
  <c r="T39" i="26"/>
  <c r="T51" i="26" s="1"/>
  <c r="AD51" i="26" s="1"/>
  <c r="S43" i="26"/>
  <c r="AD31" i="26"/>
  <c r="AC47" i="27"/>
  <c r="AD36" i="27"/>
  <c r="AD38" i="27"/>
  <c r="AD35" i="27"/>
  <c r="AD47" i="27"/>
  <c r="V46" i="27"/>
  <c r="AD46" i="27" s="1"/>
  <c r="R72" i="37"/>
  <c r="R49" i="37"/>
  <c r="R73" i="37" s="1"/>
  <c r="S48" i="37"/>
  <c r="T48" i="37"/>
  <c r="M72" i="37"/>
  <c r="T72" i="37" s="1"/>
  <c r="V72" i="37" s="1"/>
  <c r="W72" i="37" s="1"/>
  <c r="X72" i="37" s="1"/>
  <c r="Y72" i="37" s="1"/>
  <c r="Z72" i="37" s="1"/>
  <c r="AA72" i="37" s="1"/>
  <c r="AB72" i="37" s="1"/>
  <c r="AC72" i="37" s="1"/>
  <c r="AD72" i="37" s="1"/>
  <c r="I98" i="78"/>
  <c r="I97" i="78" s="1"/>
  <c r="I166" i="78"/>
  <c r="T166" i="78" s="1"/>
  <c r="I173" i="21"/>
  <c r="X173" i="21" s="1"/>
  <c r="I65" i="78"/>
  <c r="I64" i="78" s="1"/>
  <c r="I33" i="21"/>
  <c r="I32" i="21" s="1"/>
  <c r="I32" i="78"/>
  <c r="I31" i="78" s="1"/>
  <c r="I105" i="21"/>
  <c r="I104" i="21" s="1"/>
  <c r="I211" i="78"/>
  <c r="I70" i="21"/>
  <c r="I69" i="21" s="1"/>
  <c r="I218" i="21"/>
  <c r="Q22" i="40"/>
  <c r="L23" i="28"/>
  <c r="L30" i="28" s="1"/>
  <c r="AC32" i="26"/>
  <c r="AC38" i="27"/>
  <c r="N47" i="40"/>
  <c r="N71" i="40" s="1"/>
  <c r="O24" i="40"/>
  <c r="D39" i="26"/>
  <c r="D51" i="26" s="1"/>
  <c r="AC35" i="26"/>
  <c r="AC46" i="26"/>
  <c r="AD91" i="26"/>
  <c r="AC91" i="26" s="1"/>
  <c r="W62" i="27"/>
  <c r="AD24" i="27"/>
  <c r="F173" i="21"/>
  <c r="F70" i="21"/>
  <c r="F98" i="78"/>
  <c r="F105" i="21"/>
  <c r="F218" i="21"/>
  <c r="F73" i="38"/>
  <c r="L49" i="38"/>
  <c r="M49" i="38"/>
  <c r="M56" i="41"/>
  <c r="L56" i="41"/>
  <c r="U43" i="39"/>
  <c r="U67" i="39" s="1"/>
  <c r="V20" i="39"/>
  <c r="S47" i="37"/>
  <c r="Q71" i="37"/>
  <c r="T46" i="37"/>
  <c r="U23" i="37" s="1"/>
  <c r="S46" i="37"/>
  <c r="O69" i="37"/>
  <c r="S45" i="37"/>
  <c r="Q68" i="37"/>
  <c r="S44" i="37"/>
  <c r="Q60" i="37"/>
  <c r="Q49" i="37"/>
  <c r="Q73" i="37" s="1"/>
  <c r="M49" i="37"/>
  <c r="M55" i="37"/>
  <c r="S31" i="37"/>
  <c r="T31" i="37"/>
  <c r="L32" i="38"/>
  <c r="G57" i="38"/>
  <c r="M33" i="38"/>
  <c r="N10" i="38" s="1"/>
  <c r="G50" i="38"/>
  <c r="G74" i="38" s="1"/>
  <c r="L33" i="38"/>
  <c r="D60" i="38"/>
  <c r="D50" i="38"/>
  <c r="D74" i="38" s="1"/>
  <c r="K60" i="38"/>
  <c r="K50" i="38"/>
  <c r="K74" i="38" s="1"/>
  <c r="M38" i="38"/>
  <c r="N15" i="38" s="1"/>
  <c r="L38" i="38"/>
  <c r="F65" i="38"/>
  <c r="L41" i="38"/>
  <c r="F50" i="38"/>
  <c r="I61" i="40"/>
  <c r="I49" i="40"/>
  <c r="I73" i="40" s="1"/>
  <c r="L37" i="40"/>
  <c r="F68" i="40"/>
  <c r="M44" i="40"/>
  <c r="N21" i="40" s="1"/>
  <c r="L44" i="40"/>
  <c r="J71" i="40"/>
  <c r="J49" i="40"/>
  <c r="J73" i="40" s="1"/>
  <c r="E63" i="41"/>
  <c r="E49" i="41"/>
  <c r="E73" i="41" s="1"/>
  <c r="R55" i="22"/>
  <c r="R42" i="22"/>
  <c r="R69" i="22"/>
  <c r="AD22" i="27"/>
  <c r="H21" i="28"/>
  <c r="N39" i="40"/>
  <c r="N63" i="40" s="1"/>
  <c r="U41" i="39"/>
  <c r="U65" i="39" s="1"/>
  <c r="V18" i="39"/>
  <c r="S30" i="37"/>
  <c r="O49" i="37"/>
  <c r="O73" i="37" s="1"/>
  <c r="O54" i="37"/>
  <c r="N63" i="37"/>
  <c r="S39" i="37"/>
  <c r="O61" i="37"/>
  <c r="S37" i="37"/>
  <c r="P60" i="37"/>
  <c r="P49" i="37"/>
  <c r="P73" i="37" s="1"/>
  <c r="I56" i="38"/>
  <c r="I50" i="38"/>
  <c r="I74" i="38" s="1"/>
  <c r="I48" i="40"/>
  <c r="I72" i="40" s="1"/>
  <c r="H48" i="40"/>
  <c r="L25" i="40"/>
  <c r="G53" i="40"/>
  <c r="M29" i="40"/>
  <c r="L29" i="40"/>
  <c r="F60" i="40"/>
  <c r="M36" i="40"/>
  <c r="N13" i="40" s="1"/>
  <c r="F49" i="40"/>
  <c r="L63" i="40"/>
  <c r="M63" i="40"/>
  <c r="O63" i="40" s="1"/>
  <c r="P63" i="40" s="1"/>
  <c r="Q63" i="40" s="1"/>
  <c r="R63" i="40" s="1"/>
  <c r="S63" i="40" s="1"/>
  <c r="T63" i="40" s="1"/>
  <c r="U63" i="40" s="1"/>
  <c r="V63" i="40" s="1"/>
  <c r="W63" i="40" s="1"/>
  <c r="G68" i="40"/>
  <c r="G49" i="40"/>
  <c r="G73" i="40" s="1"/>
  <c r="L38" i="41"/>
  <c r="H49" i="41"/>
  <c r="H73" i="41" s="1"/>
  <c r="H62" i="41"/>
  <c r="M39" i="41"/>
  <c r="N16" i="41" s="1"/>
  <c r="L39" i="41"/>
  <c r="F63" i="41"/>
  <c r="Q96" i="65"/>
  <c r="H163" i="65"/>
  <c r="Q163" i="65" s="1"/>
  <c r="Q155" i="65"/>
  <c r="R15" i="65"/>
  <c r="S15" i="65" s="1"/>
  <c r="T15" i="65" s="1"/>
  <c r="U15" i="65" s="1"/>
  <c r="V15" i="65" s="1"/>
  <c r="W15" i="65" s="1"/>
  <c r="X15" i="65" s="1"/>
  <c r="Y15" i="65" s="1"/>
  <c r="Z15" i="65" s="1"/>
  <c r="AA15" i="65" s="1"/>
  <c r="AB15" i="65" s="1"/>
  <c r="R150" i="65"/>
  <c r="S150" i="65" s="1"/>
  <c r="T150" i="65" s="1"/>
  <c r="U150" i="65" s="1"/>
  <c r="V150" i="65" s="1"/>
  <c r="W150" i="65" s="1"/>
  <c r="X150" i="65" s="1"/>
  <c r="Y150" i="65" s="1"/>
  <c r="Z150" i="65" s="1"/>
  <c r="AA150" i="65" s="1"/>
  <c r="AB150" i="65" s="1"/>
  <c r="R20" i="29"/>
  <c r="M69" i="38"/>
  <c r="L69" i="38"/>
  <c r="U33" i="39"/>
  <c r="U57" i="39" s="1"/>
  <c r="V10" i="39"/>
  <c r="Q72" i="39"/>
  <c r="S72" i="39" s="1"/>
  <c r="Q49" i="39"/>
  <c r="Q73" i="39" s="1"/>
  <c r="N40" i="38"/>
  <c r="N64" i="38" s="1"/>
  <c r="O17" i="38"/>
  <c r="T25" i="37"/>
  <c r="L48" i="37"/>
  <c r="L72" i="37" s="1"/>
  <c r="S25" i="37"/>
  <c r="P169" i="21"/>
  <c r="P143" i="21"/>
  <c r="P139" i="21"/>
  <c r="L64" i="37"/>
  <c r="L49" i="37"/>
  <c r="L73" i="37" s="1"/>
  <c r="N62" i="37"/>
  <c r="S38" i="37"/>
  <c r="T38" i="37"/>
  <c r="U15" i="37" s="1"/>
  <c r="U38" i="37" s="1"/>
  <c r="U62" i="37" s="1"/>
  <c r="L60" i="38"/>
  <c r="M60" i="38"/>
  <c r="R65" i="39"/>
  <c r="R49" i="39"/>
  <c r="R73" i="39" s="1"/>
  <c r="M71" i="39"/>
  <c r="T47" i="39"/>
  <c r="U24" i="39" s="1"/>
  <c r="S47" i="39"/>
  <c r="E58" i="40"/>
  <c r="E49" i="40"/>
  <c r="E73" i="40" s="1"/>
  <c r="O194" i="65"/>
  <c r="Q127" i="65"/>
  <c r="R23" i="65"/>
  <c r="S23" i="65" s="1"/>
  <c r="R158" i="65"/>
  <c r="S158" i="65" s="1"/>
  <c r="T158" i="65" s="1"/>
  <c r="U158" i="65" s="1"/>
  <c r="V158" i="65" s="1"/>
  <c r="W158" i="65" s="1"/>
  <c r="X158" i="65" s="1"/>
  <c r="Y158" i="65" s="1"/>
  <c r="Z158" i="65" s="1"/>
  <c r="AA158" i="65" s="1"/>
  <c r="AB158" i="65" s="1"/>
  <c r="R18" i="65"/>
  <c r="S18" i="65" s="1"/>
  <c r="T18" i="65" s="1"/>
  <c r="U18" i="65" s="1"/>
  <c r="V18" i="65" s="1"/>
  <c r="W18" i="65" s="1"/>
  <c r="X18" i="65" s="1"/>
  <c r="Y18" i="65" s="1"/>
  <c r="Z18" i="65" s="1"/>
  <c r="AA18" i="65" s="1"/>
  <c r="AB18" i="65" s="1"/>
  <c r="R153" i="65"/>
  <c r="S153" i="65" s="1"/>
  <c r="T153" i="65" s="1"/>
  <c r="U153" i="65" s="1"/>
  <c r="V153" i="65" s="1"/>
  <c r="W153" i="65" s="1"/>
  <c r="X153" i="65" s="1"/>
  <c r="Y153" i="65" s="1"/>
  <c r="Z153" i="65" s="1"/>
  <c r="AA153" i="65" s="1"/>
  <c r="AB153" i="65" s="1"/>
  <c r="R9" i="65"/>
  <c r="S9" i="65" s="1"/>
  <c r="T9" i="65" s="1"/>
  <c r="U9" i="65" s="1"/>
  <c r="V9" i="65" s="1"/>
  <c r="W9" i="65" s="1"/>
  <c r="X9" i="65" s="1"/>
  <c r="Y9" i="65" s="1"/>
  <c r="Z9" i="65" s="1"/>
  <c r="AA9" i="65" s="1"/>
  <c r="AB9" i="65" s="1"/>
  <c r="R144" i="65"/>
  <c r="S144" i="65" s="1"/>
  <c r="T144" i="65" s="1"/>
  <c r="U144" i="65" s="1"/>
  <c r="V144" i="65" s="1"/>
  <c r="W144" i="65" s="1"/>
  <c r="X144" i="65" s="1"/>
  <c r="Y144" i="65" s="1"/>
  <c r="Z144" i="65" s="1"/>
  <c r="AA144" i="65" s="1"/>
  <c r="AB144" i="65" s="1"/>
  <c r="G13" i="69"/>
  <c r="G14" i="69"/>
  <c r="G15" i="69"/>
  <c r="AD48" i="26"/>
  <c r="AC50" i="26"/>
  <c r="C16" i="28"/>
  <c r="D30" i="28" s="1"/>
  <c r="O29" i="39"/>
  <c r="O53" i="39" s="1"/>
  <c r="AD33" i="32"/>
  <c r="T39" i="37"/>
  <c r="U16" i="37" s="1"/>
  <c r="N35" i="40"/>
  <c r="N59" i="40" s="1"/>
  <c r="O12" i="40"/>
  <c r="M70" i="41"/>
  <c r="L70" i="41"/>
  <c r="Q108" i="65"/>
  <c r="AC25" i="26"/>
  <c r="AC97" i="26" s="1"/>
  <c r="AC24" i="26"/>
  <c r="AD23" i="26"/>
  <c r="M62" i="41"/>
  <c r="K49" i="37"/>
  <c r="K73" i="37" s="1"/>
  <c r="M67" i="41"/>
  <c r="L67" i="41"/>
  <c r="M54" i="38"/>
  <c r="O54" i="38" s="1"/>
  <c r="P54" i="38" s="1"/>
  <c r="Q54" i="38" s="1"/>
  <c r="R54" i="38" s="1"/>
  <c r="S54" i="38" s="1"/>
  <c r="T54" i="38" s="1"/>
  <c r="U54" i="38" s="1"/>
  <c r="V54" i="38" s="1"/>
  <c r="W54" i="38" s="1"/>
  <c r="L54" i="38"/>
  <c r="Q64" i="37"/>
  <c r="S64" i="37" s="1"/>
  <c r="S40" i="37"/>
  <c r="T37" i="39"/>
  <c r="U14" i="39" s="1"/>
  <c r="N61" i="39"/>
  <c r="S37" i="39"/>
  <c r="L62" i="39"/>
  <c r="S36" i="37"/>
  <c r="M66" i="38"/>
  <c r="O66" i="38" s="1"/>
  <c r="P66" i="38" s="1"/>
  <c r="Q66" i="38" s="1"/>
  <c r="R66" i="38" s="1"/>
  <c r="S66" i="38" s="1"/>
  <c r="T66" i="38" s="1"/>
  <c r="U66" i="38" s="1"/>
  <c r="V66" i="38" s="1"/>
  <c r="W66" i="38" s="1"/>
  <c r="L66" i="38"/>
  <c r="S32" i="39"/>
  <c r="T32" i="39"/>
  <c r="U9" i="39" s="1"/>
  <c r="N49" i="39"/>
  <c r="N56" i="39"/>
  <c r="P60" i="39"/>
  <c r="P49" i="39"/>
  <c r="P73" i="39" s="1"/>
  <c r="S36" i="39"/>
  <c r="K54" i="41"/>
  <c r="K49" i="41"/>
  <c r="K73" i="41" s="1"/>
  <c r="AC19" i="27"/>
  <c r="AC21" i="27"/>
  <c r="AD23" i="27"/>
  <c r="E29" i="39"/>
  <c r="E53" i="39" s="1"/>
  <c r="AC14" i="33"/>
  <c r="AD30" i="33"/>
  <c r="N49" i="37"/>
  <c r="N73" i="37" s="1"/>
  <c r="L56" i="38"/>
  <c r="U34" i="39"/>
  <c r="U58" i="39" s="1"/>
  <c r="V11" i="39"/>
  <c r="O55" i="39"/>
  <c r="S55" i="39" s="1"/>
  <c r="O49" i="39"/>
  <c r="O73" i="39" s="1"/>
  <c r="S31" i="39"/>
  <c r="D48" i="41"/>
  <c r="D72" i="41" s="1"/>
  <c r="E48" i="41"/>
  <c r="E72" i="41" s="1"/>
  <c r="J68" i="41"/>
  <c r="J49" i="41"/>
  <c r="J73" i="41" s="1"/>
  <c r="S30" i="43"/>
  <c r="S38" i="43" s="1"/>
  <c r="D116" i="25"/>
  <c r="T30" i="43"/>
  <c r="T38" i="43" s="1"/>
  <c r="S23" i="43"/>
  <c r="F29" i="37"/>
  <c r="F53" i="37" s="1"/>
  <c r="N22" i="28"/>
  <c r="N29" i="28" s="1"/>
  <c r="AD23" i="32"/>
  <c r="M55" i="38"/>
  <c r="S63" i="37"/>
  <c r="S48" i="39"/>
  <c r="T48" i="39"/>
  <c r="L36" i="40"/>
  <c r="N41" i="40"/>
  <c r="N65" i="40" s="1"/>
  <c r="O18" i="40"/>
  <c r="O41" i="40" s="1"/>
  <c r="N40" i="40"/>
  <c r="N64" i="40" s="1"/>
  <c r="O17" i="40"/>
  <c r="M61" i="41"/>
  <c r="L61" i="41"/>
  <c r="M70" i="37"/>
  <c r="I61" i="38"/>
  <c r="L37" i="38"/>
  <c r="G62" i="38"/>
  <c r="E65" i="38"/>
  <c r="E50" i="38"/>
  <c r="E74" i="38" s="1"/>
  <c r="I68" i="38"/>
  <c r="L44" i="38"/>
  <c r="I64" i="41"/>
  <c r="L64" i="41" s="1"/>
  <c r="L40" i="41"/>
  <c r="L72" i="41"/>
  <c r="K75" i="27"/>
  <c r="K87" i="27" s="1"/>
  <c r="K82" i="27"/>
  <c r="J23" i="30"/>
  <c r="R151" i="65"/>
  <c r="S151" i="65" s="1"/>
  <c r="T151" i="65" s="1"/>
  <c r="U151" i="65" s="1"/>
  <c r="V151" i="65" s="1"/>
  <c r="W151" i="65" s="1"/>
  <c r="X151" i="65" s="1"/>
  <c r="Y151" i="65" s="1"/>
  <c r="Z151" i="65" s="1"/>
  <c r="AA151" i="65" s="1"/>
  <c r="AB151" i="65" s="1"/>
  <c r="R16" i="65"/>
  <c r="S16" i="65" s="1"/>
  <c r="T16" i="65" s="1"/>
  <c r="U16" i="65" s="1"/>
  <c r="V16" i="65" s="1"/>
  <c r="W16" i="65" s="1"/>
  <c r="X16" i="65" s="1"/>
  <c r="Y16" i="65" s="1"/>
  <c r="Z16" i="65" s="1"/>
  <c r="AA16" i="65" s="1"/>
  <c r="AB16" i="65" s="1"/>
  <c r="R179" i="65"/>
  <c r="S179" i="65" s="1"/>
  <c r="T179" i="65" s="1"/>
  <c r="U179" i="65" s="1"/>
  <c r="V179" i="65" s="1"/>
  <c r="W179" i="65" s="1"/>
  <c r="X179" i="65" s="1"/>
  <c r="Y179" i="65" s="1"/>
  <c r="Z179" i="65" s="1"/>
  <c r="AA179" i="65" s="1"/>
  <c r="AB179" i="65" s="1"/>
  <c r="R44" i="65"/>
  <c r="S44" i="65" s="1"/>
  <c r="S72" i="37"/>
  <c r="AB19" i="43"/>
  <c r="AA27" i="43"/>
  <c r="T21" i="65"/>
  <c r="U21" i="65" s="1"/>
  <c r="V21" i="65" s="1"/>
  <c r="W21" i="65" s="1"/>
  <c r="X21" i="65" s="1"/>
  <c r="Y21" i="65" s="1"/>
  <c r="Z21" i="65" s="1"/>
  <c r="AA21" i="65" s="1"/>
  <c r="AB21" i="65" s="1"/>
  <c r="AD35" i="34"/>
  <c r="D115" i="25"/>
  <c r="D118" i="25" s="1"/>
  <c r="S29" i="43"/>
  <c r="S37" i="43" s="1"/>
  <c r="L29" i="43"/>
  <c r="L37" i="43" s="1"/>
  <c r="K29" i="43"/>
  <c r="K37" i="43" s="1"/>
  <c r="P28" i="43"/>
  <c r="P36" i="43" s="1"/>
  <c r="Q28" i="43"/>
  <c r="Q36" i="43" s="1"/>
  <c r="H28" i="43"/>
  <c r="H36" i="43" s="1"/>
  <c r="I28" i="43"/>
  <c r="I36" i="43" s="1"/>
  <c r="U23" i="43"/>
  <c r="F112" i="25"/>
  <c r="F118" i="25" s="1"/>
  <c r="U27" i="43"/>
  <c r="U35" i="43" s="1"/>
  <c r="F27" i="43"/>
  <c r="F35" i="43" s="1"/>
  <c r="G27" i="43"/>
  <c r="G35" i="43" s="1"/>
  <c r="H100" i="30"/>
  <c r="H102" i="30" s="1"/>
  <c r="F100" i="30"/>
  <c r="F102" i="30" s="1"/>
  <c r="AE86" i="27"/>
  <c r="AE87" i="27" s="1"/>
  <c r="T79" i="27"/>
  <c r="C115" i="25"/>
  <c r="C118" i="25" s="1"/>
  <c r="R29" i="43"/>
  <c r="R37" i="43" s="1"/>
  <c r="Z21" i="43"/>
  <c r="J29" i="43"/>
  <c r="J37" i="43" s="1"/>
  <c r="Y37" i="43" s="1"/>
  <c r="Y21" i="43"/>
  <c r="Y20" i="43"/>
  <c r="Z20" i="43"/>
  <c r="T23" i="43"/>
  <c r="E112" i="25"/>
  <c r="E118" i="25" s="1"/>
  <c r="T27" i="43"/>
  <c r="T35" i="43" s="1"/>
  <c r="N27" i="43"/>
  <c r="N35" i="43" s="1"/>
  <c r="M27" i="43"/>
  <c r="M35" i="43" s="1"/>
  <c r="Q75" i="27"/>
  <c r="Q87" i="27" s="1"/>
  <c r="Q82" i="27"/>
  <c r="G374" i="36"/>
  <c r="G371" i="36"/>
  <c r="P75" i="27"/>
  <c r="P87" i="27" s="1"/>
  <c r="W58" i="32"/>
  <c r="F428" i="36"/>
  <c r="F429" i="36" s="1"/>
  <c r="F440" i="36" s="1"/>
  <c r="G79" i="35" s="1"/>
  <c r="L192" i="65"/>
  <c r="Q125" i="65"/>
  <c r="H186" i="65"/>
  <c r="Q119" i="65"/>
  <c r="J180" i="65"/>
  <c r="Q113" i="65"/>
  <c r="T25" i="39"/>
  <c r="L23" i="43"/>
  <c r="L31" i="43" s="1"/>
  <c r="L39" i="43" s="1"/>
  <c r="V50" i="22"/>
  <c r="V64" i="22" s="1"/>
  <c r="C118" i="41"/>
  <c r="C136" i="41"/>
  <c r="Q73" i="65"/>
  <c r="Q134" i="65"/>
  <c r="Q197" i="65"/>
  <c r="P183" i="65"/>
  <c r="Q116" i="65"/>
  <c r="Q109" i="65"/>
  <c r="N176" i="65"/>
  <c r="Q176" i="65" s="1"/>
  <c r="K23" i="43"/>
  <c r="G82" i="35"/>
  <c r="Q196" i="65"/>
  <c r="Q117" i="65"/>
  <c r="M184" i="65"/>
  <c r="I177" i="65"/>
  <c r="Q110" i="65"/>
  <c r="Q159" i="65"/>
  <c r="Q142" i="65"/>
  <c r="M42" i="38"/>
  <c r="N19" i="38" s="1"/>
  <c r="Z62" i="32"/>
  <c r="F422" i="36"/>
  <c r="Q152" i="65"/>
  <c r="Q135" i="65"/>
  <c r="I202" i="65"/>
  <c r="Q100" i="65"/>
  <c r="G167" i="65"/>
  <c r="Q167" i="65" s="1"/>
  <c r="O159" i="65"/>
  <c r="Q92" i="65"/>
  <c r="R157" i="65"/>
  <c r="S157" i="65" s="1"/>
  <c r="T157" i="65" s="1"/>
  <c r="U157" i="65" s="1"/>
  <c r="V157" i="65" s="1"/>
  <c r="W157" i="65" s="1"/>
  <c r="X157" i="65" s="1"/>
  <c r="Y157" i="65" s="1"/>
  <c r="Z157" i="65" s="1"/>
  <c r="AA157" i="65" s="1"/>
  <c r="AB157" i="65" s="1"/>
  <c r="R22" i="65"/>
  <c r="S22" i="65" s="1"/>
  <c r="T22" i="65" s="1"/>
  <c r="U22" i="65" s="1"/>
  <c r="V22" i="65" s="1"/>
  <c r="W22" i="65" s="1"/>
  <c r="X22" i="65" s="1"/>
  <c r="Y22" i="65" s="1"/>
  <c r="Z22" i="65" s="1"/>
  <c r="AA22" i="65" s="1"/>
  <c r="AB22" i="65" s="1"/>
  <c r="R10" i="65"/>
  <c r="S10" i="65" s="1"/>
  <c r="T10" i="65" s="1"/>
  <c r="U10" i="65" s="1"/>
  <c r="V10" i="65" s="1"/>
  <c r="W10" i="65" s="1"/>
  <c r="X10" i="65" s="1"/>
  <c r="Y10" i="65" s="1"/>
  <c r="Z10" i="65" s="1"/>
  <c r="AA10" i="65" s="1"/>
  <c r="AB10" i="65" s="1"/>
  <c r="R145" i="65"/>
  <c r="S145" i="65" s="1"/>
  <c r="T145" i="65" s="1"/>
  <c r="U145" i="65" s="1"/>
  <c r="V145" i="65" s="1"/>
  <c r="W145" i="65" s="1"/>
  <c r="X145" i="65" s="1"/>
  <c r="Y145" i="65" s="1"/>
  <c r="Z145" i="65" s="1"/>
  <c r="AA145" i="65" s="1"/>
  <c r="AB145" i="65" s="1"/>
  <c r="Z37" i="43"/>
  <c r="AA37" i="43" s="1"/>
  <c r="AA21" i="43" s="1"/>
  <c r="AC79" i="27"/>
  <c r="F404" i="36"/>
  <c r="G83" i="35" s="1"/>
  <c r="Q198" i="65"/>
  <c r="H185" i="65"/>
  <c r="Q118" i="65"/>
  <c r="Q160" i="65"/>
  <c r="L75" i="27"/>
  <c r="L87" i="27" s="1"/>
  <c r="R75" i="27"/>
  <c r="R87" i="27" s="1"/>
  <c r="Q124" i="65"/>
  <c r="J191" i="65"/>
  <c r="L172" i="65"/>
  <c r="Q105" i="65"/>
  <c r="P171" i="65"/>
  <c r="Q171" i="65" s="1"/>
  <c r="Q104" i="65"/>
  <c r="Q161" i="65"/>
  <c r="Q82" i="65"/>
  <c r="J149" i="65"/>
  <c r="Q149" i="65" s="1"/>
  <c r="G146" i="65"/>
  <c r="Q146" i="65" s="1"/>
  <c r="Q79" i="65"/>
  <c r="M30" i="43"/>
  <c r="M38" i="43" s="1"/>
  <c r="Y22" i="43"/>
  <c r="Q80" i="65"/>
  <c r="Q175" i="65"/>
  <c r="Q189" i="65"/>
  <c r="R189" i="65" s="1"/>
  <c r="S189" i="65" s="1"/>
  <c r="T189" i="65" s="1"/>
  <c r="U189" i="65" s="1"/>
  <c r="V189" i="65" s="1"/>
  <c r="W189" i="65" s="1"/>
  <c r="X189" i="65" s="1"/>
  <c r="Y189" i="65" s="1"/>
  <c r="Z189" i="65" s="1"/>
  <c r="AA189" i="65" s="1"/>
  <c r="AB189" i="65" s="1"/>
  <c r="I15" i="69"/>
  <c r="I14" i="69"/>
  <c r="G90" i="21"/>
  <c r="F181" i="30"/>
  <c r="H181" i="30" s="1"/>
  <c r="G84" i="78"/>
  <c r="G55" i="21"/>
  <c r="G51" i="78"/>
  <c r="R51" i="78" s="1"/>
  <c r="Q191" i="65"/>
  <c r="Q187" i="65"/>
  <c r="I71" i="21"/>
  <c r="U14" i="21"/>
  <c r="Y14" i="21"/>
  <c r="AA14" i="21"/>
  <c r="F98" i="35"/>
  <c r="G201" i="65"/>
  <c r="Q137" i="65"/>
  <c r="Q140" i="65"/>
  <c r="Q199" i="65"/>
  <c r="Q115" i="65"/>
  <c r="H119" i="30"/>
  <c r="I20" i="74"/>
  <c r="P76" i="22"/>
  <c r="N76" i="22" s="1"/>
  <c r="Q76" i="22" s="1"/>
  <c r="Z12" i="64"/>
  <c r="C65" i="25"/>
  <c r="C99" i="25" s="1"/>
  <c r="Q148" i="65"/>
  <c r="Q204" i="65"/>
  <c r="L29" i="74"/>
  <c r="K128" i="30"/>
  <c r="L128" i="30" s="1"/>
  <c r="L35" i="74"/>
  <c r="K146" i="30"/>
  <c r="E475" i="36"/>
  <c r="Z22" i="43"/>
  <c r="Q164" i="65"/>
  <c r="R29" i="65" s="1"/>
  <c r="S29" i="65" s="1"/>
  <c r="Q143" i="65"/>
  <c r="Q120" i="65"/>
  <c r="G18" i="78"/>
  <c r="R18" i="78" s="1"/>
  <c r="T85" i="78"/>
  <c r="U85" i="78" s="1"/>
  <c r="L50" i="22"/>
  <c r="Q76" i="65"/>
  <c r="Z210" i="65"/>
  <c r="R12" i="25" s="1"/>
  <c r="V77" i="22"/>
  <c r="V78" i="22" s="1"/>
  <c r="Q186" i="65"/>
  <c r="Q183" i="65"/>
  <c r="F22" i="76"/>
  <c r="L63" i="22"/>
  <c r="Q147" i="65"/>
  <c r="Q181" i="65"/>
  <c r="Q89" i="65"/>
  <c r="Q121" i="65"/>
  <c r="M211" i="65"/>
  <c r="F13" i="25" s="1"/>
  <c r="Q174" i="65"/>
  <c r="Q166" i="65"/>
  <c r="Q162" i="65"/>
  <c r="K118" i="30"/>
  <c r="L118" i="30" s="1"/>
  <c r="L19" i="74"/>
  <c r="H35" i="74"/>
  <c r="F5" i="78"/>
  <c r="H27" i="74"/>
  <c r="H126" i="30" s="1"/>
  <c r="J72" i="21"/>
  <c r="X72" i="21" s="1"/>
  <c r="N6" i="21"/>
  <c r="P145" i="78"/>
  <c r="P36" i="64"/>
  <c r="P20" i="78"/>
  <c r="E17" i="73"/>
  <c r="C108" i="30" s="1"/>
  <c r="O93" i="21"/>
  <c r="H22" i="21"/>
  <c r="J54" i="78"/>
  <c r="N87" i="78"/>
  <c r="M54" i="78"/>
  <c r="I100" i="78"/>
  <c r="I99" i="78" s="1"/>
  <c r="I132" i="30"/>
  <c r="R129" i="78"/>
  <c r="T71" i="78"/>
  <c r="N71" i="78"/>
  <c r="Y50" i="21"/>
  <c r="W36" i="64"/>
  <c r="J22" i="21"/>
  <c r="W22" i="21" s="1"/>
  <c r="AI22" i="21" s="1"/>
  <c r="AJ22" i="21" s="1"/>
  <c r="J35" i="21"/>
  <c r="J34" i="21" s="1"/>
  <c r="N93" i="21"/>
  <c r="O21" i="78"/>
  <c r="T21" i="78" s="1"/>
  <c r="K21" i="78"/>
  <c r="J87" i="78"/>
  <c r="I34" i="78"/>
  <c r="I33" i="78" s="1"/>
  <c r="K20" i="74"/>
  <c r="L6" i="21"/>
  <c r="P151" i="78"/>
  <c r="G126" i="78"/>
  <c r="Z15" i="78"/>
  <c r="Z25" i="78"/>
  <c r="T86" i="78"/>
  <c r="U89" i="78"/>
  <c r="F78" i="30"/>
  <c r="F81" i="30" s="1"/>
  <c r="O43" i="64"/>
  <c r="P43" i="64" s="1"/>
  <c r="AE25" i="21"/>
  <c r="M20" i="21"/>
  <c r="M19" i="78"/>
  <c r="P19" i="78" s="1"/>
  <c r="K22" i="21"/>
  <c r="L58" i="21"/>
  <c r="I35" i="21"/>
  <c r="M93" i="21"/>
  <c r="W93" i="21" s="1"/>
  <c r="AI93" i="21" s="1"/>
  <c r="AJ93" i="21" s="1"/>
  <c r="O54" i="78"/>
  <c r="K54" i="78"/>
  <c r="F20" i="74"/>
  <c r="F38" i="74" s="1"/>
  <c r="H19" i="74"/>
  <c r="I19" i="74" s="1"/>
  <c r="P73" i="78"/>
  <c r="Z73" i="78" s="1"/>
  <c r="M5" i="78"/>
  <c r="R170" i="78"/>
  <c r="P181" i="78"/>
  <c r="F193" i="30"/>
  <c r="AE14" i="21"/>
  <c r="F79" i="30"/>
  <c r="Q168" i="65"/>
  <c r="Q165" i="65"/>
  <c r="H8" i="69"/>
  <c r="I13" i="69"/>
  <c r="S45" i="78"/>
  <c r="X107" i="21"/>
  <c r="F120" i="30"/>
  <c r="P43" i="78"/>
  <c r="S43" i="78" s="1"/>
  <c r="F144" i="78"/>
  <c r="P144" i="78" s="1"/>
  <c r="L5" i="78"/>
  <c r="Z23" i="78"/>
  <c r="O71" i="78"/>
  <c r="J78" i="30"/>
  <c r="J81" i="30" s="1"/>
  <c r="J74" i="30" s="1"/>
  <c r="P132" i="78"/>
  <c r="S11" i="21"/>
  <c r="T11" i="21" s="1"/>
  <c r="P11" i="21"/>
  <c r="Q19" i="21"/>
  <c r="J13" i="16"/>
  <c r="AF67" i="26"/>
  <c r="AF79" i="26" s="1"/>
  <c r="AF42" i="32"/>
  <c r="AG55" i="26"/>
  <c r="K30" i="25"/>
  <c r="J15" i="18"/>
  <c r="Y42" i="39"/>
  <c r="Z19" i="39"/>
  <c r="AG60" i="26"/>
  <c r="T46" i="40"/>
  <c r="U23" i="40"/>
  <c r="W14" i="38"/>
  <c r="W37" i="38" s="1"/>
  <c r="V37" i="38"/>
  <c r="AC18" i="37"/>
  <c r="AB41" i="37"/>
  <c r="U42" i="41"/>
  <c r="V19" i="41"/>
  <c r="U33" i="40"/>
  <c r="V10" i="40"/>
  <c r="V25" i="38"/>
  <c r="T42" i="41"/>
  <c r="W14" i="40"/>
  <c r="W37" i="40" s="1"/>
  <c r="W18" i="41"/>
  <c r="W41" i="41" s="1"/>
  <c r="AI79" i="26"/>
  <c r="AO79" i="26"/>
  <c r="AK79" i="26"/>
  <c r="AM79" i="26"/>
  <c r="AN79" i="26"/>
  <c r="AJ79" i="26"/>
  <c r="AG79" i="26"/>
  <c r="AL79" i="26"/>
  <c r="AH79" i="26"/>
  <c r="T13" i="41"/>
  <c r="S36" i="41"/>
  <c r="AD47" i="26"/>
  <c r="AC47" i="26"/>
  <c r="AC45" i="27"/>
  <c r="AC44" i="26"/>
  <c r="AC38" i="33"/>
  <c r="AD38" i="33"/>
  <c r="T28" i="29"/>
  <c r="R27" i="29"/>
  <c r="R23" i="29"/>
  <c r="R30" i="29" s="1"/>
  <c r="AD43" i="27"/>
  <c r="AC43" i="27"/>
  <c r="AC45" i="26"/>
  <c r="AD94" i="26"/>
  <c r="AE94" i="26"/>
  <c r="AD20" i="26"/>
  <c r="AC20" i="26"/>
  <c r="AD19" i="27"/>
  <c r="AD21" i="27"/>
  <c r="J22" i="28"/>
  <c r="D6" i="37"/>
  <c r="W16" i="28"/>
  <c r="G16" i="29"/>
  <c r="H30" i="29" s="1"/>
  <c r="G22" i="29"/>
  <c r="U21" i="29"/>
  <c r="T16" i="29"/>
  <c r="L21" i="29"/>
  <c r="M21" i="29"/>
  <c r="L16" i="29"/>
  <c r="E21" i="29"/>
  <c r="D16" i="29"/>
  <c r="AE72" i="26"/>
  <c r="AD72" i="26"/>
  <c r="L26" i="33"/>
  <c r="L38" i="33" s="1"/>
  <c r="L35" i="33"/>
  <c r="G37" i="34"/>
  <c r="G26" i="34"/>
  <c r="G38" i="34" s="1"/>
  <c r="L36" i="34"/>
  <c r="L26" i="34"/>
  <c r="L38" i="34" s="1"/>
  <c r="J35" i="34"/>
  <c r="J26" i="34"/>
  <c r="J38" i="34" s="1"/>
  <c r="AB33" i="34"/>
  <c r="AC33" i="34" s="1"/>
  <c r="AB26" i="34"/>
  <c r="AB38" i="34" s="1"/>
  <c r="X30" i="34"/>
  <c r="X26" i="34"/>
  <c r="J62" i="30"/>
  <c r="C62" i="30"/>
  <c r="G62" i="30"/>
  <c r="K62" i="30"/>
  <c r="D62" i="30"/>
  <c r="L62" i="30"/>
  <c r="H62" i="30"/>
  <c r="F62" i="30"/>
  <c r="I62" i="30"/>
  <c r="E62" i="30"/>
  <c r="D61" i="30"/>
  <c r="I61" i="30"/>
  <c r="L61" i="30"/>
  <c r="C61" i="30"/>
  <c r="E61" i="30"/>
  <c r="K61" i="30"/>
  <c r="J61" i="30"/>
  <c r="G61" i="30"/>
  <c r="H61" i="30"/>
  <c r="F61" i="30"/>
  <c r="V14" i="37"/>
  <c r="U37" i="37"/>
  <c r="U61" i="37" s="1"/>
  <c r="U43" i="37"/>
  <c r="U67" i="37" s="1"/>
  <c r="V20" i="37"/>
  <c r="U36" i="37"/>
  <c r="U60" i="37" s="1"/>
  <c r="V13" i="37"/>
  <c r="U47" i="37"/>
  <c r="U71" i="37" s="1"/>
  <c r="V24" i="37"/>
  <c r="U38" i="39"/>
  <c r="U62" i="39" s="1"/>
  <c r="V15" i="39"/>
  <c r="N44" i="38"/>
  <c r="N68" i="38" s="1"/>
  <c r="O21" i="38"/>
  <c r="W22" i="28"/>
  <c r="Q6" i="37"/>
  <c r="Q22" i="28"/>
  <c r="J6" i="37"/>
  <c r="AC22" i="33"/>
  <c r="S34" i="33"/>
  <c r="H26" i="33"/>
  <c r="H38" i="33" s="1"/>
  <c r="H30" i="33"/>
  <c r="I20" i="29"/>
  <c r="Y27" i="26"/>
  <c r="Z51" i="26" s="1"/>
  <c r="Y98" i="26"/>
  <c r="AA97" i="26"/>
  <c r="AA37" i="26"/>
  <c r="N22" i="29"/>
  <c r="M22" i="29"/>
  <c r="M29" i="29" s="1"/>
  <c r="G6" i="39"/>
  <c r="G29" i="39" s="1"/>
  <c r="G53" i="39" s="1"/>
  <c r="P26" i="32"/>
  <c r="P38" i="32" s="1"/>
  <c r="P35" i="32"/>
  <c r="AC18" i="32"/>
  <c r="U30" i="32"/>
  <c r="M26" i="32"/>
  <c r="M38" i="32" s="1"/>
  <c r="M30" i="32"/>
  <c r="E26" i="32"/>
  <c r="E38" i="32" s="1"/>
  <c r="E30" i="32"/>
  <c r="AC24" i="33"/>
  <c r="S36" i="33"/>
  <c r="K26" i="33"/>
  <c r="K38" i="33" s="1"/>
  <c r="K36" i="33"/>
  <c r="AD32" i="33"/>
  <c r="AC32" i="33"/>
  <c r="M30" i="33"/>
  <c r="M26" i="33"/>
  <c r="M38" i="33" s="1"/>
  <c r="AD91" i="27"/>
  <c r="AE91" i="27"/>
  <c r="AC25" i="27"/>
  <c r="Y97" i="27"/>
  <c r="AE97" i="27" s="1"/>
  <c r="AD20" i="27"/>
  <c r="AC20" i="27"/>
  <c r="T22" i="29"/>
  <c r="T29" i="29" s="1"/>
  <c r="S16" i="29"/>
  <c r="M6" i="39"/>
  <c r="AC21" i="33"/>
  <c r="X33" i="33"/>
  <c r="AD21" i="33"/>
  <c r="R26" i="33"/>
  <c r="R38" i="33" s="1"/>
  <c r="R32" i="33"/>
  <c r="AC31" i="32"/>
  <c r="AD31" i="32"/>
  <c r="U35" i="33"/>
  <c r="AC23" i="33"/>
  <c r="AD73" i="26"/>
  <c r="AE96" i="27"/>
  <c r="V96" i="27" s="1"/>
  <c r="V60" i="27" s="1"/>
  <c r="AD96" i="27"/>
  <c r="AC96" i="27" s="1"/>
  <c r="N36" i="32"/>
  <c r="N26" i="32"/>
  <c r="N38" i="32" s="1"/>
  <c r="V26" i="32"/>
  <c r="V38" i="32" s="1"/>
  <c r="V32" i="32"/>
  <c r="AC35" i="33"/>
  <c r="D34" i="33"/>
  <c r="D26" i="33"/>
  <c r="D38" i="33" s="1"/>
  <c r="AC19" i="26"/>
  <c r="AD19" i="26"/>
  <c r="AD27" i="26" s="1"/>
  <c r="AD26" i="27"/>
  <c r="X62" i="27"/>
  <c r="AC26" i="27"/>
  <c r="AC22" i="27"/>
  <c r="AC27" i="27" s="1"/>
  <c r="AA34" i="27"/>
  <c r="E29" i="37"/>
  <c r="E53" i="37" s="1"/>
  <c r="AC15" i="27"/>
  <c r="Q26" i="32"/>
  <c r="Q38" i="32" s="1"/>
  <c r="Q30" i="32"/>
  <c r="I26" i="32"/>
  <c r="I38" i="32" s="1"/>
  <c r="I30" i="32"/>
  <c r="AC36" i="32"/>
  <c r="AD36" i="32"/>
  <c r="AC35" i="32"/>
  <c r="AD25" i="33"/>
  <c r="W37" i="33"/>
  <c r="W26" i="33"/>
  <c r="G26" i="33"/>
  <c r="G38" i="33" s="1"/>
  <c r="G37" i="33"/>
  <c r="AD24" i="33"/>
  <c r="X36" i="33"/>
  <c r="O26" i="33"/>
  <c r="O38" i="33" s="1"/>
  <c r="O36" i="33"/>
  <c r="F56" i="30"/>
  <c r="D56" i="30"/>
  <c r="D54" i="30" s="1"/>
  <c r="L56" i="30"/>
  <c r="K56" i="30"/>
  <c r="I56" i="30"/>
  <c r="C56" i="30"/>
  <c r="H56" i="30"/>
  <c r="H54" i="30" s="1"/>
  <c r="E56" i="30"/>
  <c r="J56" i="30"/>
  <c r="G56" i="30"/>
  <c r="U32" i="37"/>
  <c r="U56" i="37" s="1"/>
  <c r="V9" i="37"/>
  <c r="N45" i="41"/>
  <c r="N69" i="41" s="1"/>
  <c r="O22" i="41"/>
  <c r="V22" i="29"/>
  <c r="C65" i="30"/>
  <c r="H65" i="30"/>
  <c r="I65" i="30"/>
  <c r="K65" i="30"/>
  <c r="E65" i="30"/>
  <c r="J65" i="30"/>
  <c r="D65" i="30"/>
  <c r="F65" i="30"/>
  <c r="L65" i="30"/>
  <c r="G65" i="30"/>
  <c r="V11" i="37"/>
  <c r="U34" i="37"/>
  <c r="U58" i="37" s="1"/>
  <c r="U45" i="37"/>
  <c r="U69" i="37" s="1"/>
  <c r="V22" i="37"/>
  <c r="U37" i="39"/>
  <c r="U61" i="39" s="1"/>
  <c r="V14" i="39"/>
  <c r="O56" i="40"/>
  <c r="P56" i="40" s="1"/>
  <c r="Q56" i="40" s="1"/>
  <c r="R56" i="40" s="1"/>
  <c r="S56" i="40" s="1"/>
  <c r="T56" i="40" s="1"/>
  <c r="U56" i="40" s="1"/>
  <c r="V56" i="40" s="1"/>
  <c r="W56" i="40" s="1"/>
  <c r="O9" i="40"/>
  <c r="N35" i="38"/>
  <c r="N59" i="38" s="1"/>
  <c r="O12" i="38"/>
  <c r="L63" i="30"/>
  <c r="E63" i="30"/>
  <c r="I63" i="30"/>
  <c r="J63" i="30"/>
  <c r="F63" i="30"/>
  <c r="G63" i="30"/>
  <c r="K63" i="30"/>
  <c r="H63" i="30"/>
  <c r="D63" i="30"/>
  <c r="C63" i="30"/>
  <c r="H67" i="30"/>
  <c r="L67" i="30"/>
  <c r="I67" i="30"/>
  <c r="E67" i="30"/>
  <c r="J67" i="30"/>
  <c r="F67" i="30"/>
  <c r="G67" i="30"/>
  <c r="K67" i="30"/>
  <c r="C67" i="30"/>
  <c r="D67" i="30"/>
  <c r="N36" i="40"/>
  <c r="N60" i="40" s="1"/>
  <c r="U46" i="39"/>
  <c r="U70" i="39" s="1"/>
  <c r="V23" i="39"/>
  <c r="O11" i="38"/>
  <c r="N26" i="38"/>
  <c r="N34" i="38"/>
  <c r="N58" i="38" s="1"/>
  <c r="G6" i="37"/>
  <c r="C57" i="30"/>
  <c r="I57" i="30"/>
  <c r="F57" i="30"/>
  <c r="D57" i="30"/>
  <c r="K57" i="30"/>
  <c r="E57" i="30"/>
  <c r="G57" i="30"/>
  <c r="H57" i="30"/>
  <c r="L57" i="30"/>
  <c r="J57" i="30"/>
  <c r="N34" i="40"/>
  <c r="N58" i="40" s="1"/>
  <c r="O11" i="40"/>
  <c r="U36" i="39"/>
  <c r="U60" i="39" s="1"/>
  <c r="K69" i="30"/>
  <c r="G69" i="30"/>
  <c r="L69" i="30"/>
  <c r="C69" i="30"/>
  <c r="F69" i="30"/>
  <c r="I69" i="30"/>
  <c r="J69" i="30"/>
  <c r="D69" i="30"/>
  <c r="E69" i="30"/>
  <c r="H69" i="30"/>
  <c r="U44" i="37"/>
  <c r="U68" i="37" s="1"/>
  <c r="V21" i="37"/>
  <c r="N39" i="38"/>
  <c r="N63" i="38" s="1"/>
  <c r="O16" i="38"/>
  <c r="U39" i="37"/>
  <c r="U63" i="37" s="1"/>
  <c r="V16" i="37"/>
  <c r="U35" i="37"/>
  <c r="U59" i="37" s="1"/>
  <c r="V12" i="37"/>
  <c r="N30" i="40"/>
  <c r="N54" i="40" s="1"/>
  <c r="O7" i="40"/>
  <c r="N25" i="40"/>
  <c r="H70" i="30"/>
  <c r="D70" i="30"/>
  <c r="J70" i="30"/>
  <c r="E70" i="30"/>
  <c r="L70" i="30"/>
  <c r="I70" i="30"/>
  <c r="G70" i="30"/>
  <c r="C70" i="30"/>
  <c r="K70" i="30"/>
  <c r="F70" i="30"/>
  <c r="U46" i="37"/>
  <c r="U70" i="37" s="1"/>
  <c r="N34" i="41"/>
  <c r="N58" i="41" s="1"/>
  <c r="P11" i="41" s="1"/>
  <c r="N25" i="41"/>
  <c r="U30" i="39"/>
  <c r="U54" i="39" s="1"/>
  <c r="V7" i="39"/>
  <c r="U25" i="39"/>
  <c r="L64" i="30"/>
  <c r="C64" i="30"/>
  <c r="D64" i="30"/>
  <c r="G64" i="30"/>
  <c r="K64" i="30"/>
  <c r="F64" i="30"/>
  <c r="H64" i="30"/>
  <c r="I64" i="30"/>
  <c r="E64" i="30"/>
  <c r="J64" i="30"/>
  <c r="F32" i="78"/>
  <c r="F49" i="41"/>
  <c r="H35" i="43"/>
  <c r="Y35" i="43" s="1"/>
  <c r="Y27" i="43"/>
  <c r="Z27" i="43"/>
  <c r="E39" i="43"/>
  <c r="F65" i="78"/>
  <c r="N75" i="27"/>
  <c r="N87" i="27" s="1"/>
  <c r="O80" i="27"/>
  <c r="O75" i="27"/>
  <c r="O87" i="27" s="1"/>
  <c r="F166" i="78"/>
  <c r="F33" i="21"/>
  <c r="F211" i="78"/>
  <c r="T60" i="39"/>
  <c r="V60" i="39" s="1"/>
  <c r="W60" i="39" s="1"/>
  <c r="X60" i="39" s="1"/>
  <c r="Y60" i="39" s="1"/>
  <c r="Z60" i="39" s="1"/>
  <c r="AA60" i="39" s="1"/>
  <c r="AB60" i="39" s="1"/>
  <c r="AC60" i="39" s="1"/>
  <c r="AD60" i="39" s="1"/>
  <c r="S60" i="39"/>
  <c r="T64" i="39"/>
  <c r="K112" i="25"/>
  <c r="AC19" i="43"/>
  <c r="AB27" i="43"/>
  <c r="Z29" i="43"/>
  <c r="X31" i="43"/>
  <c r="X39" i="43" s="1"/>
  <c r="W31" i="43"/>
  <c r="W39" i="43" s="1"/>
  <c r="S79" i="27"/>
  <c r="S75" i="27"/>
  <c r="S87" i="27" s="1"/>
  <c r="G86" i="27"/>
  <c r="G75" i="27"/>
  <c r="G87" i="27" s="1"/>
  <c r="N31" i="43"/>
  <c r="N39" i="43" s="1"/>
  <c r="O31" i="43"/>
  <c r="O39" i="43" s="1"/>
  <c r="AB62" i="32"/>
  <c r="AC60" i="32"/>
  <c r="AG61" i="32"/>
  <c r="AH61" i="32" s="1"/>
  <c r="AI61" i="32" s="1"/>
  <c r="AJ61" i="32" s="1"/>
  <c r="AK61" i="32" s="1"/>
  <c r="AL61" i="32" s="1"/>
  <c r="AM61" i="32" s="1"/>
  <c r="AN61" i="32" s="1"/>
  <c r="AO61" i="32" s="1"/>
  <c r="G36" i="43"/>
  <c r="Y28" i="43"/>
  <c r="Z28" i="43"/>
  <c r="J81" i="27"/>
  <c r="J75" i="27"/>
  <c r="J87" i="27" s="1"/>
  <c r="I84" i="27"/>
  <c r="I75" i="27"/>
  <c r="I87" i="27" s="1"/>
  <c r="D61" i="41"/>
  <c r="D49" i="41"/>
  <c r="D73" i="41" s="1"/>
  <c r="J112" i="25"/>
  <c r="Y29" i="43"/>
  <c r="L79" i="27"/>
  <c r="U16" i="21"/>
  <c r="AD54" i="32"/>
  <c r="AC54" i="32"/>
  <c r="AE54" i="32" s="1"/>
  <c r="AF54" i="32" s="1"/>
  <c r="AG54" i="32" s="1"/>
  <c r="AH54" i="32" s="1"/>
  <c r="AI54" i="32" s="1"/>
  <c r="AJ54" i="32" s="1"/>
  <c r="AK54" i="32" s="1"/>
  <c r="AL54" i="32" s="1"/>
  <c r="AM54" i="32" s="1"/>
  <c r="AN54" i="32" s="1"/>
  <c r="AO54" i="32" s="1"/>
  <c r="R79" i="27"/>
  <c r="F75" i="27"/>
  <c r="F87" i="27" s="1"/>
  <c r="I32" i="22"/>
  <c r="Z58" i="32"/>
  <c r="Z56" i="32"/>
  <c r="AF57" i="32"/>
  <c r="AG57" i="32" s="1"/>
  <c r="AH57" i="32" s="1"/>
  <c r="AI57" i="32" s="1"/>
  <c r="AJ57" i="32" s="1"/>
  <c r="AK57" i="32" s="1"/>
  <c r="AL57" i="32" s="1"/>
  <c r="AM57" i="32" s="1"/>
  <c r="AN57" i="32" s="1"/>
  <c r="AO57" i="32" s="1"/>
  <c r="AE62" i="32"/>
  <c r="F73" i="10"/>
  <c r="F84" i="10" s="1"/>
  <c r="F85" i="10" s="1"/>
  <c r="AC57" i="32"/>
  <c r="AD57" i="32"/>
  <c r="AC59" i="32"/>
  <c r="AD59" i="32"/>
  <c r="H71" i="10"/>
  <c r="G11" i="22"/>
  <c r="X62" i="32"/>
  <c r="Q63" i="22"/>
  <c r="Z13" i="64"/>
  <c r="AH60" i="32"/>
  <c r="F100" i="35"/>
  <c r="E481" i="36"/>
  <c r="E482" i="36" s="1"/>
  <c r="E493" i="36" s="1"/>
  <c r="F95" i="35" s="1"/>
  <c r="K463" i="36"/>
  <c r="L77" i="22"/>
  <c r="M42" i="22"/>
  <c r="F421" i="36"/>
  <c r="F423" i="36" s="1"/>
  <c r="F438" i="36" s="1"/>
  <c r="G77" i="35" s="1"/>
  <c r="F424" i="36"/>
  <c r="G84" i="35"/>
  <c r="F431" i="36"/>
  <c r="F432" i="36" s="1"/>
  <c r="F441" i="36" s="1"/>
  <c r="G80" i="35" s="1"/>
  <c r="F430" i="36"/>
  <c r="F425" i="36"/>
  <c r="W50" i="22"/>
  <c r="L64" i="22"/>
  <c r="L78" i="22"/>
  <c r="W63" i="22"/>
  <c r="W64" i="22" s="1"/>
  <c r="G377" i="36"/>
  <c r="G368" i="36"/>
  <c r="G370" i="36"/>
  <c r="G372" i="36" s="1"/>
  <c r="G385" i="36" s="1"/>
  <c r="H62" i="35" s="1"/>
  <c r="H68" i="35"/>
  <c r="G373" i="36"/>
  <c r="G367" i="36"/>
  <c r="G376" i="36"/>
  <c r="G378" i="36" s="1"/>
  <c r="G387" i="36" s="1"/>
  <c r="H64" i="35" s="1"/>
  <c r="D453" i="36"/>
  <c r="J400" i="36"/>
  <c r="H453" i="36"/>
  <c r="P74" i="22"/>
  <c r="N74" i="22" s="1"/>
  <c r="Q74" i="22" s="1"/>
  <c r="Q77" i="22" s="1"/>
  <c r="U30" i="43"/>
  <c r="U38" i="43" s="1"/>
  <c r="J463" i="36"/>
  <c r="I400" i="36"/>
  <c r="K400" i="36"/>
  <c r="E400" i="36"/>
  <c r="H30" i="43"/>
  <c r="H38" i="43" s="1"/>
  <c r="F30" i="43"/>
  <c r="F38" i="43" s="1"/>
  <c r="E474" i="36"/>
  <c r="E476" i="36" s="1"/>
  <c r="E491" i="36" s="1"/>
  <c r="F93" i="35" s="1"/>
  <c r="E478" i="36"/>
  <c r="H66" i="35"/>
  <c r="J350" i="36"/>
  <c r="J360" i="36" s="1"/>
  <c r="J367" i="36" s="1"/>
  <c r="K403" i="36"/>
  <c r="K413" i="36" s="1"/>
  <c r="I350" i="36"/>
  <c r="I360" i="36" s="1"/>
  <c r="H456" i="36"/>
  <c r="H466" i="36" s="1"/>
  <c r="K456" i="36"/>
  <c r="K466" i="36" s="1"/>
  <c r="J456" i="36"/>
  <c r="J466" i="36" s="1"/>
  <c r="H401" i="36"/>
  <c r="H411" i="36" s="1"/>
  <c r="J401" i="36"/>
  <c r="J411" i="36" s="1"/>
  <c r="I348" i="36"/>
  <c r="I358" i="36" s="1"/>
  <c r="J454" i="36"/>
  <c r="E348" i="36"/>
  <c r="E358" i="36" s="1"/>
  <c r="D348" i="36"/>
  <c r="D358" i="36" s="1"/>
  <c r="D376" i="36" s="1"/>
  <c r="H400" i="36"/>
  <c r="F347" i="36"/>
  <c r="D400" i="36"/>
  <c r="Q30" i="43"/>
  <c r="Q38" i="43" s="1"/>
  <c r="E477" i="36"/>
  <c r="E484" i="36"/>
  <c r="E485" i="36" s="1"/>
  <c r="E494" i="36" s="1"/>
  <c r="F96" i="35" s="1"/>
  <c r="E68" i="35"/>
  <c r="G351" i="36"/>
  <c r="J358" i="36"/>
  <c r="K347" i="36"/>
  <c r="I347" i="36"/>
  <c r="G453" i="36"/>
  <c r="E30" i="43"/>
  <c r="H31" i="43"/>
  <c r="H39" i="43" s="1"/>
  <c r="F116" i="25"/>
  <c r="G400" i="36"/>
  <c r="E347" i="36"/>
  <c r="I453" i="36"/>
  <c r="D371" i="36"/>
  <c r="F350" i="36"/>
  <c r="F360" i="36" s="1"/>
  <c r="J403" i="36"/>
  <c r="J413" i="36" s="1"/>
  <c r="H403" i="36"/>
  <c r="H413" i="36" s="1"/>
  <c r="D403" i="36"/>
  <c r="D413" i="36" s="1"/>
  <c r="G456" i="36"/>
  <c r="G466" i="36" s="1"/>
  <c r="G401" i="36"/>
  <c r="G411" i="36" s="1"/>
  <c r="D454" i="36"/>
  <c r="D464" i="36" s="1"/>
  <c r="I401" i="36"/>
  <c r="I411" i="36" s="1"/>
  <c r="K454" i="36"/>
  <c r="K464" i="36" s="1"/>
  <c r="E401" i="36"/>
  <c r="E411" i="36" s="1"/>
  <c r="H347" i="36"/>
  <c r="F453" i="36"/>
  <c r="R52" i="65"/>
  <c r="S52" i="65" s="1"/>
  <c r="R187" i="65"/>
  <c r="S187" i="65" s="1"/>
  <c r="T187" i="65" s="1"/>
  <c r="U187" i="65" s="1"/>
  <c r="V187" i="65" s="1"/>
  <c r="W187" i="65" s="1"/>
  <c r="X187" i="65" s="1"/>
  <c r="Y187" i="65" s="1"/>
  <c r="Z187" i="65" s="1"/>
  <c r="AA187" i="65" s="1"/>
  <c r="AB187" i="65" s="1"/>
  <c r="R39" i="65"/>
  <c r="S39" i="65" s="1"/>
  <c r="R174" i="65"/>
  <c r="S174" i="65" s="1"/>
  <c r="T174" i="65" s="1"/>
  <c r="U174" i="65" s="1"/>
  <c r="V174" i="65" s="1"/>
  <c r="W174" i="65" s="1"/>
  <c r="X174" i="65" s="1"/>
  <c r="Y174" i="65" s="1"/>
  <c r="Z174" i="65" s="1"/>
  <c r="AA174" i="65" s="1"/>
  <c r="AB174" i="65" s="1"/>
  <c r="R27" i="65"/>
  <c r="S27" i="65" s="1"/>
  <c r="R162" i="65"/>
  <c r="S162" i="65" s="1"/>
  <c r="T162" i="65" s="1"/>
  <c r="U162" i="65" s="1"/>
  <c r="V162" i="65" s="1"/>
  <c r="W162" i="65" s="1"/>
  <c r="X162" i="65" s="1"/>
  <c r="Y162" i="65" s="1"/>
  <c r="Z162" i="65" s="1"/>
  <c r="AA162" i="65" s="1"/>
  <c r="AB162" i="65" s="1"/>
  <c r="Q192" i="65"/>
  <c r="Q203" i="65"/>
  <c r="Q190" i="65"/>
  <c r="Q177" i="65"/>
  <c r="R54" i="65"/>
  <c r="S54" i="65" s="1"/>
  <c r="T54" i="65" s="1"/>
  <c r="U54" i="65" s="1"/>
  <c r="V54" i="65" s="1"/>
  <c r="W54" i="65" s="1"/>
  <c r="X54" i="65" s="1"/>
  <c r="Y54" i="65" s="1"/>
  <c r="Z54" i="65" s="1"/>
  <c r="AA54" i="65" s="1"/>
  <c r="AB54" i="65" s="1"/>
  <c r="Q201" i="65"/>
  <c r="K25" i="70"/>
  <c r="L25" i="70" s="1"/>
  <c r="L24" i="70"/>
  <c r="Q202" i="65"/>
  <c r="Q170" i="65"/>
  <c r="Q169" i="65"/>
  <c r="R8" i="65"/>
  <c r="R143" i="65"/>
  <c r="S143" i="65" s="1"/>
  <c r="T143" i="65" s="1"/>
  <c r="U143" i="65" s="1"/>
  <c r="V143" i="65" s="1"/>
  <c r="W143" i="65" s="1"/>
  <c r="X143" i="65" s="1"/>
  <c r="Y143" i="65" s="1"/>
  <c r="Z143" i="65" s="1"/>
  <c r="AA143" i="65" s="1"/>
  <c r="AB143" i="65" s="1"/>
  <c r="Q200" i="65"/>
  <c r="Q193" i="65"/>
  <c r="Q185" i="65"/>
  <c r="Q172" i="65"/>
  <c r="R164" i="65"/>
  <c r="Q180" i="65"/>
  <c r="Q195" i="65"/>
  <c r="Q182" i="65"/>
  <c r="Q178" i="65"/>
  <c r="R33" i="65"/>
  <c r="S33" i="65" s="1"/>
  <c r="R168" i="65"/>
  <c r="S168" i="65" s="1"/>
  <c r="T168" i="65" s="1"/>
  <c r="U168" i="65" s="1"/>
  <c r="V168" i="65" s="1"/>
  <c r="W168" i="65" s="1"/>
  <c r="X168" i="65" s="1"/>
  <c r="Y168" i="65" s="1"/>
  <c r="Z168" i="65" s="1"/>
  <c r="AA168" i="65" s="1"/>
  <c r="AB168" i="65" s="1"/>
  <c r="Q188" i="65"/>
  <c r="Q154" i="65"/>
  <c r="Q194" i="65"/>
  <c r="Q184" i="65"/>
  <c r="Q173" i="65"/>
  <c r="P35" i="64"/>
  <c r="P38" i="64" s="1"/>
  <c r="T19" i="78"/>
  <c r="O45" i="64"/>
  <c r="P45" i="64" s="1"/>
  <c r="S20" i="78"/>
  <c r="Q57" i="21"/>
  <c r="Q56" i="21"/>
  <c r="V15" i="72"/>
  <c r="V37" i="72" s="1"/>
  <c r="C9" i="72" s="1"/>
  <c r="U37" i="72"/>
  <c r="O46" i="64"/>
  <c r="P46" i="64" s="1"/>
  <c r="E14" i="69"/>
  <c r="E15" i="69"/>
  <c r="Q91" i="21"/>
  <c r="R56" i="21"/>
  <c r="P56" i="21"/>
  <c r="Y56" i="21" s="1"/>
  <c r="AA43" i="21"/>
  <c r="AE43" i="21"/>
  <c r="P57" i="21"/>
  <c r="U57" i="21" s="1"/>
  <c r="Q107" i="21"/>
  <c r="W58" i="21"/>
  <c r="AI58" i="21" s="1"/>
  <c r="AJ58" i="21" s="1"/>
  <c r="X58" i="21"/>
  <c r="P58" i="21"/>
  <c r="U82" i="21"/>
  <c r="Y82" i="21"/>
  <c r="AA82" i="21"/>
  <c r="T13" i="63"/>
  <c r="U13" i="63" s="1"/>
  <c r="Q123" i="65"/>
  <c r="E5" i="69"/>
  <c r="E3" i="69"/>
  <c r="E4" i="69"/>
  <c r="E7" i="69"/>
  <c r="E6" i="69"/>
  <c r="W38" i="64"/>
  <c r="Y43" i="21"/>
  <c r="U43" i="21"/>
  <c r="AA78" i="21"/>
  <c r="I3" i="69"/>
  <c r="I5" i="69"/>
  <c r="P91" i="21"/>
  <c r="Y91" i="21" s="1"/>
  <c r="I34" i="21"/>
  <c r="W35" i="21"/>
  <c r="AI35" i="21" s="1"/>
  <c r="AJ35" i="21" s="1"/>
  <c r="R55" i="78"/>
  <c r="O18" i="78"/>
  <c r="N84" i="78"/>
  <c r="M19" i="21"/>
  <c r="L51" i="78"/>
  <c r="M51" i="78"/>
  <c r="O19" i="21"/>
  <c r="L84" i="78"/>
  <c r="M55" i="21"/>
  <c r="L90" i="21"/>
  <c r="O51" i="78"/>
  <c r="O84" i="78"/>
  <c r="L55" i="21"/>
  <c r="N51" i="78"/>
  <c r="N55" i="21"/>
  <c r="L18" i="78"/>
  <c r="P18" i="78" s="1"/>
  <c r="S18" i="78" s="1"/>
  <c r="O55" i="21"/>
  <c r="N18" i="78"/>
  <c r="O90" i="21"/>
  <c r="M84" i="78"/>
  <c r="N19" i="21"/>
  <c r="M90" i="21"/>
  <c r="N90" i="21"/>
  <c r="H118" i="30"/>
  <c r="K123" i="30"/>
  <c r="L123" i="30" s="1"/>
  <c r="L24" i="74"/>
  <c r="X93" i="21"/>
  <c r="U92" i="21"/>
  <c r="W107" i="21"/>
  <c r="AI107" i="21" s="1"/>
  <c r="AJ107" i="21" s="1"/>
  <c r="J106" i="21"/>
  <c r="O5" i="78"/>
  <c r="Q44" i="21"/>
  <c r="X41" i="21"/>
  <c r="X92" i="21"/>
  <c r="X35" i="21"/>
  <c r="AE23" i="21"/>
  <c r="AA23" i="21"/>
  <c r="Y23" i="21"/>
  <c r="U23" i="21"/>
  <c r="H146" i="30"/>
  <c r="I146" i="30" s="1"/>
  <c r="I35" i="74"/>
  <c r="Q78" i="21"/>
  <c r="X76" i="21"/>
  <c r="R78" i="21"/>
  <c r="AE78" i="21" s="1"/>
  <c r="AA92" i="21"/>
  <c r="T20" i="78"/>
  <c r="U20" i="78" s="1"/>
  <c r="L19" i="21"/>
  <c r="T5" i="78"/>
  <c r="U7" i="78"/>
  <c r="T52" i="78"/>
  <c r="M18" i="78"/>
  <c r="Z43" i="78"/>
  <c r="U43" i="78"/>
  <c r="I119" i="30"/>
  <c r="J71" i="21"/>
  <c r="L31" i="74"/>
  <c r="F119" i="30"/>
  <c r="E133" i="30"/>
  <c r="H59" i="21"/>
  <c r="J22" i="78"/>
  <c r="K87" i="78"/>
  <c r="L54" i="78"/>
  <c r="P54" i="78" s="1"/>
  <c r="M87" i="78"/>
  <c r="J5" i="78"/>
  <c r="P86" i="78"/>
  <c r="U86" i="78" s="1"/>
  <c r="R86" i="78"/>
  <c r="S89" i="78"/>
  <c r="Z89" i="78"/>
  <c r="P136" i="78"/>
  <c r="P190" i="78"/>
  <c r="F189" i="78"/>
  <c r="P189" i="78" s="1"/>
  <c r="R190" i="78"/>
  <c r="C74" i="30"/>
  <c r="H24" i="21"/>
  <c r="J24" i="21"/>
  <c r="K24" i="21"/>
  <c r="L24" i="21"/>
  <c r="M24" i="21"/>
  <c r="N24" i="21"/>
  <c r="O24" i="21"/>
  <c r="I24" i="21"/>
  <c r="L146" i="30"/>
  <c r="K21" i="74"/>
  <c r="H21" i="74"/>
  <c r="I21" i="74" s="1"/>
  <c r="K125" i="30"/>
  <c r="L125" i="30" s="1"/>
  <c r="L26" i="74"/>
  <c r="P85" i="78"/>
  <c r="AA85" i="21"/>
  <c r="U85" i="21"/>
  <c r="AE85" i="21"/>
  <c r="F184" i="30"/>
  <c r="F60" i="79"/>
  <c r="Z7" i="78"/>
  <c r="M71" i="78"/>
  <c r="P140" i="78"/>
  <c r="P191" i="78"/>
  <c r="R191" i="78"/>
  <c r="H49" i="21"/>
  <c r="H84" i="21"/>
  <c r="H46" i="78"/>
  <c r="H76" i="78"/>
  <c r="H47" i="21"/>
  <c r="H10" i="78"/>
  <c r="L22" i="74"/>
  <c r="K121" i="30"/>
  <c r="L121" i="30" s="1"/>
  <c r="P162" i="78"/>
  <c r="M6" i="21"/>
  <c r="F63" i="79"/>
  <c r="F190" i="30"/>
  <c r="F191" i="30"/>
  <c r="H191" i="30" s="1"/>
  <c r="Y95" i="21"/>
  <c r="AE60" i="21"/>
  <c r="K34" i="74"/>
  <c r="L34" i="74" s="1"/>
  <c r="H34" i="74"/>
  <c r="I34" i="74" s="1"/>
  <c r="N22" i="78"/>
  <c r="P163" i="78"/>
  <c r="J38" i="78"/>
  <c r="T38" i="78"/>
  <c r="L38" i="78"/>
  <c r="P52" i="78"/>
  <c r="Z52" i="78" s="1"/>
  <c r="P53" i="78"/>
  <c r="Z53" i="78" s="1"/>
  <c r="Z56" i="78"/>
  <c r="U56" i="78"/>
  <c r="R208" i="78"/>
  <c r="F207" i="78"/>
  <c r="P207" i="78" s="1"/>
  <c r="F74" i="30"/>
  <c r="S85" i="78"/>
  <c r="E65" i="79"/>
  <c r="F65" i="79" s="1"/>
  <c r="J31" i="21"/>
  <c r="J103" i="21"/>
  <c r="AE95" i="21"/>
  <c r="M22" i="78"/>
  <c r="J55" i="78"/>
  <c r="I55" i="78"/>
  <c r="M94" i="21"/>
  <c r="J59" i="21"/>
  <c r="L55" i="78"/>
  <c r="M88" i="78"/>
  <c r="N55" i="78"/>
  <c r="N94" i="21"/>
  <c r="K59" i="21"/>
  <c r="H88" i="78"/>
  <c r="H22" i="78"/>
  <c r="N88" i="78"/>
  <c r="O59" i="21"/>
  <c r="L59" i="21"/>
  <c r="L94" i="21"/>
  <c r="K55" i="78"/>
  <c r="L88" i="78"/>
  <c r="I22" i="78"/>
  <c r="O94" i="21"/>
  <c r="M55" i="78"/>
  <c r="O88" i="78"/>
  <c r="O22" i="78"/>
  <c r="I94" i="21"/>
  <c r="H94" i="21"/>
  <c r="G17" i="78"/>
  <c r="P40" i="78"/>
  <c r="S40" i="78" s="1"/>
  <c r="U73" i="78"/>
  <c r="P177" i="78"/>
  <c r="P185" i="78"/>
  <c r="R193" i="78"/>
  <c r="P193" i="78"/>
  <c r="AA50" i="21"/>
  <c r="AE50" i="21"/>
  <c r="F179" i="30"/>
  <c r="H179" i="30" s="1"/>
  <c r="E77" i="30"/>
  <c r="E80" i="30" s="1"/>
  <c r="K77" i="30"/>
  <c r="K80" i="30" s="1"/>
  <c r="K74" i="30" s="1"/>
  <c r="H79" i="30"/>
  <c r="I79" i="30"/>
  <c r="E78" i="30"/>
  <c r="E81" i="30" s="1"/>
  <c r="F62" i="79"/>
  <c r="L78" i="30"/>
  <c r="L81" i="30" s="1"/>
  <c r="K78" i="30"/>
  <c r="K81" i="30" s="1"/>
  <c r="I78" i="30"/>
  <c r="I81" i="30" s="1"/>
  <c r="L79" i="30"/>
  <c r="D78" i="30"/>
  <c r="D81" i="30" s="1"/>
  <c r="D77" i="30"/>
  <c r="D80" i="30" s="1"/>
  <c r="D74" i="30" s="1"/>
  <c r="Z19" i="78" l="1"/>
  <c r="S19" i="78"/>
  <c r="R41" i="65"/>
  <c r="S41" i="65" s="1"/>
  <c r="R176" i="65"/>
  <c r="S176" i="65" s="1"/>
  <c r="T176" i="65" s="1"/>
  <c r="U176" i="65" s="1"/>
  <c r="V176" i="65" s="1"/>
  <c r="W176" i="65" s="1"/>
  <c r="X176" i="65" s="1"/>
  <c r="Y176" i="65" s="1"/>
  <c r="Z176" i="65" s="1"/>
  <c r="AA176" i="65" s="1"/>
  <c r="AB176" i="65" s="1"/>
  <c r="R36" i="65"/>
  <c r="S36" i="65" s="1"/>
  <c r="R171" i="65"/>
  <c r="S171" i="65" s="1"/>
  <c r="T171" i="65" s="1"/>
  <c r="U171" i="65" s="1"/>
  <c r="V171" i="65" s="1"/>
  <c r="W171" i="65" s="1"/>
  <c r="X171" i="65" s="1"/>
  <c r="Y171" i="65" s="1"/>
  <c r="Z171" i="65" s="1"/>
  <c r="AA171" i="65" s="1"/>
  <c r="AB171" i="65" s="1"/>
  <c r="M68" i="21"/>
  <c r="M103" i="21"/>
  <c r="M31" i="21"/>
  <c r="AE55" i="27"/>
  <c r="AE60" i="27"/>
  <c r="X20" i="21"/>
  <c r="Y20" i="21" s="1"/>
  <c r="P20" i="21"/>
  <c r="R161" i="65"/>
  <c r="S161" i="65" s="1"/>
  <c r="T161" i="65" s="1"/>
  <c r="U161" i="65" s="1"/>
  <c r="V161" i="65" s="1"/>
  <c r="W161" i="65" s="1"/>
  <c r="X161" i="65" s="1"/>
  <c r="Y161" i="65" s="1"/>
  <c r="Z161" i="65" s="1"/>
  <c r="AA161" i="65" s="1"/>
  <c r="AB161" i="65" s="1"/>
  <c r="R26" i="65"/>
  <c r="S26" i="65" s="1"/>
  <c r="T26" i="65" s="1"/>
  <c r="U26" i="65" s="1"/>
  <c r="V26" i="65" s="1"/>
  <c r="W26" i="65" s="1"/>
  <c r="X26" i="65" s="1"/>
  <c r="Y26" i="65" s="1"/>
  <c r="Z26" i="65" s="1"/>
  <c r="AA26" i="65" s="1"/>
  <c r="AB26" i="65" s="1"/>
  <c r="T70" i="37"/>
  <c r="S70" i="37"/>
  <c r="F69" i="21"/>
  <c r="R48" i="41"/>
  <c r="R49" i="41"/>
  <c r="AC40" i="37"/>
  <c r="AD17" i="37"/>
  <c r="AD40" i="37" s="1"/>
  <c r="P55" i="78"/>
  <c r="D370" i="36"/>
  <c r="S73" i="78"/>
  <c r="H13" i="21"/>
  <c r="H13" i="78"/>
  <c r="H79" i="78"/>
  <c r="C112" i="30"/>
  <c r="D112" i="30"/>
  <c r="P93" i="21"/>
  <c r="R55" i="21"/>
  <c r="S55" i="21" s="1"/>
  <c r="T55" i="21" s="1"/>
  <c r="G54" i="21"/>
  <c r="R25" i="65"/>
  <c r="S25" i="65" s="1"/>
  <c r="R160" i="65"/>
  <c r="S160" i="65" s="1"/>
  <c r="T160" i="65" s="1"/>
  <c r="U160" i="65" s="1"/>
  <c r="V160" i="65" s="1"/>
  <c r="W160" i="65" s="1"/>
  <c r="X160" i="65" s="1"/>
  <c r="Y160" i="65" s="1"/>
  <c r="Z160" i="65" s="1"/>
  <c r="AA160" i="65" s="1"/>
  <c r="AB160" i="65" s="1"/>
  <c r="G65" i="78"/>
  <c r="G64" i="78" s="1"/>
  <c r="G33" i="21"/>
  <c r="G32" i="21" s="1"/>
  <c r="G32" i="78"/>
  <c r="G31" i="78" s="1"/>
  <c r="G70" i="21"/>
  <c r="G69" i="21" s="1"/>
  <c r="G98" i="78"/>
  <c r="G97" i="78" s="1"/>
  <c r="G218" i="21"/>
  <c r="G105" i="21"/>
  <c r="G104" i="21" s="1"/>
  <c r="G211" i="78"/>
  <c r="G173" i="21"/>
  <c r="P173" i="21" s="1"/>
  <c r="G166" i="78"/>
  <c r="M63" i="41"/>
  <c r="O63" i="41" s="1"/>
  <c r="P63" i="41" s="1"/>
  <c r="Q63" i="41" s="1"/>
  <c r="R63" i="41" s="1"/>
  <c r="S63" i="41" s="1"/>
  <c r="T63" i="41" s="1"/>
  <c r="U63" i="41" s="1"/>
  <c r="V63" i="41" s="1"/>
  <c r="W63" i="41" s="1"/>
  <c r="L63" i="41"/>
  <c r="O16" i="40"/>
  <c r="O9" i="41"/>
  <c r="O56" i="41"/>
  <c r="P56" i="41" s="1"/>
  <c r="Q56" i="41" s="1"/>
  <c r="R56" i="41" s="1"/>
  <c r="S56" i="41" s="1"/>
  <c r="T56" i="41" s="1"/>
  <c r="U56" i="41" s="1"/>
  <c r="V56" i="41" s="1"/>
  <c r="W56" i="41" s="1"/>
  <c r="O47" i="40"/>
  <c r="P24" i="40"/>
  <c r="V44" i="39"/>
  <c r="W21" i="39"/>
  <c r="R35" i="41"/>
  <c r="S12" i="41"/>
  <c r="AE85" i="26"/>
  <c r="AD85" i="26"/>
  <c r="V43" i="40"/>
  <c r="W20" i="40"/>
  <c r="W43" i="40" s="1"/>
  <c r="S30" i="41"/>
  <c r="T7" i="41"/>
  <c r="S25" i="41"/>
  <c r="R31" i="65"/>
  <c r="S31" i="65" s="1"/>
  <c r="R166" i="65"/>
  <c r="S166" i="65" s="1"/>
  <c r="T166" i="65" s="1"/>
  <c r="U166" i="65" s="1"/>
  <c r="V166" i="65" s="1"/>
  <c r="W166" i="65" s="1"/>
  <c r="X166" i="65" s="1"/>
  <c r="Y166" i="65" s="1"/>
  <c r="Z166" i="65" s="1"/>
  <c r="AA166" i="65" s="1"/>
  <c r="AB166" i="65" s="1"/>
  <c r="F21" i="25"/>
  <c r="F20" i="25"/>
  <c r="R48" i="65"/>
  <c r="S48" i="65" s="1"/>
  <c r="T48" i="65" s="1"/>
  <c r="U48" i="65" s="1"/>
  <c r="V48" i="65" s="1"/>
  <c r="W48" i="65" s="1"/>
  <c r="X48" i="65" s="1"/>
  <c r="Y48" i="65" s="1"/>
  <c r="Z48" i="65" s="1"/>
  <c r="AA48" i="65" s="1"/>
  <c r="AB48" i="65" s="1"/>
  <c r="R183" i="65"/>
  <c r="S183" i="65" s="1"/>
  <c r="T183" i="65" s="1"/>
  <c r="U183" i="65" s="1"/>
  <c r="V183" i="65" s="1"/>
  <c r="W183" i="65" s="1"/>
  <c r="X183" i="65" s="1"/>
  <c r="Y183" i="65" s="1"/>
  <c r="Z183" i="65" s="1"/>
  <c r="AA183" i="65" s="1"/>
  <c r="AB183" i="65" s="1"/>
  <c r="H133" i="30"/>
  <c r="I133" i="30" s="1"/>
  <c r="H141" i="30"/>
  <c r="I141" i="30" s="1"/>
  <c r="H138" i="30"/>
  <c r="I138" i="30" s="1"/>
  <c r="I140" i="30" s="1"/>
  <c r="R84" i="78"/>
  <c r="G83" i="78"/>
  <c r="H6" i="41"/>
  <c r="D6" i="41"/>
  <c r="C7" i="25" s="1"/>
  <c r="G6" i="41"/>
  <c r="E6" i="41"/>
  <c r="I6" i="41"/>
  <c r="H98" i="78"/>
  <c r="H65" i="78"/>
  <c r="H32" i="78"/>
  <c r="P32" i="78" s="1"/>
  <c r="H173" i="21"/>
  <c r="H166" i="78"/>
  <c r="H105" i="21"/>
  <c r="H104" i="21" s="1"/>
  <c r="H33" i="21"/>
  <c r="H32" i="21" s="1"/>
  <c r="H70" i="21"/>
  <c r="H69" i="21" s="1"/>
  <c r="H211" i="78"/>
  <c r="H218" i="21"/>
  <c r="O61" i="41"/>
  <c r="P61" i="41" s="1"/>
  <c r="Q61" i="41" s="1"/>
  <c r="R61" i="41" s="1"/>
  <c r="S61" i="41" s="1"/>
  <c r="T61" i="41" s="1"/>
  <c r="U61" i="41" s="1"/>
  <c r="V61" i="41" s="1"/>
  <c r="W61" i="41" s="1"/>
  <c r="O14" i="41"/>
  <c r="S56" i="39"/>
  <c r="T56" i="39"/>
  <c r="V56" i="39" s="1"/>
  <c r="W56" i="39" s="1"/>
  <c r="X56" i="39" s="1"/>
  <c r="Y56" i="39" s="1"/>
  <c r="Z56" i="39" s="1"/>
  <c r="AA56" i="39" s="1"/>
  <c r="AB56" i="39" s="1"/>
  <c r="AC56" i="39" s="1"/>
  <c r="AD56" i="39" s="1"/>
  <c r="U47" i="39"/>
  <c r="U71" i="39" s="1"/>
  <c r="O69" i="38"/>
  <c r="P69" i="38" s="1"/>
  <c r="Q69" i="38" s="1"/>
  <c r="R69" i="38" s="1"/>
  <c r="S69" i="38" s="1"/>
  <c r="T69" i="38" s="1"/>
  <c r="U69" i="38" s="1"/>
  <c r="V69" i="38" s="1"/>
  <c r="W69" i="38" s="1"/>
  <c r="O22" i="38"/>
  <c r="H72" i="40"/>
  <c r="L72" i="40" s="1"/>
  <c r="L48" i="40"/>
  <c r="H49" i="40"/>
  <c r="H73" i="40" s="1"/>
  <c r="F74" i="38"/>
  <c r="M50" i="38"/>
  <c r="L50" i="38"/>
  <c r="S55" i="37"/>
  <c r="T55" i="37"/>
  <c r="K102" i="30"/>
  <c r="M102" i="30" s="1"/>
  <c r="R24" i="41"/>
  <c r="Q47" i="41"/>
  <c r="AG58" i="26"/>
  <c r="AG82" i="26"/>
  <c r="AH82" i="26" s="1"/>
  <c r="AI82" i="26" s="1"/>
  <c r="AJ82" i="26" s="1"/>
  <c r="AK82" i="26" s="1"/>
  <c r="AL82" i="26" s="1"/>
  <c r="AM82" i="26" s="1"/>
  <c r="AN82" i="26" s="1"/>
  <c r="AO82" i="26" s="1"/>
  <c r="U9" i="38"/>
  <c r="T32" i="38"/>
  <c r="U15" i="40"/>
  <c r="T38" i="40"/>
  <c r="AE93" i="21"/>
  <c r="R24" i="65"/>
  <c r="S24" i="65" s="1"/>
  <c r="T24" i="65" s="1"/>
  <c r="U24" i="65" s="1"/>
  <c r="V24" i="65" s="1"/>
  <c r="W24" i="65" s="1"/>
  <c r="X24" i="65" s="1"/>
  <c r="Y24" i="65" s="1"/>
  <c r="Z24" i="65" s="1"/>
  <c r="AA24" i="65" s="1"/>
  <c r="AB24" i="65" s="1"/>
  <c r="R159" i="65"/>
  <c r="S159" i="65" s="1"/>
  <c r="T159" i="65" s="1"/>
  <c r="U159" i="65" s="1"/>
  <c r="V159" i="65" s="1"/>
  <c r="W159" i="65" s="1"/>
  <c r="X159" i="65" s="1"/>
  <c r="Y159" i="65" s="1"/>
  <c r="Z159" i="65" s="1"/>
  <c r="AA159" i="65" s="1"/>
  <c r="AB159" i="65" s="1"/>
  <c r="P21" i="78"/>
  <c r="S21" i="78" s="1"/>
  <c r="Z38" i="43"/>
  <c r="AA38" i="43" s="1"/>
  <c r="H68" i="30"/>
  <c r="AB37" i="43"/>
  <c r="AC37" i="43" s="1"/>
  <c r="AD37" i="43" s="1"/>
  <c r="AE37" i="43" s="1"/>
  <c r="AF37" i="43" s="1"/>
  <c r="AG37" i="43" s="1"/>
  <c r="AH37" i="43" s="1"/>
  <c r="AI37" i="43" s="1"/>
  <c r="AJ37" i="43" s="1"/>
  <c r="AK37" i="43" s="1"/>
  <c r="V15" i="37"/>
  <c r="W15" i="37" s="1"/>
  <c r="U25" i="37"/>
  <c r="R51" i="65"/>
  <c r="S51" i="65" s="1"/>
  <c r="T51" i="65" s="1"/>
  <c r="U51" i="65" s="1"/>
  <c r="V51" i="65" s="1"/>
  <c r="W51" i="65" s="1"/>
  <c r="X51" i="65" s="1"/>
  <c r="Y51" i="65" s="1"/>
  <c r="Z51" i="65" s="1"/>
  <c r="AA51" i="65" s="1"/>
  <c r="AB51" i="65" s="1"/>
  <c r="R186" i="65"/>
  <c r="S186" i="65" s="1"/>
  <c r="T186" i="65" s="1"/>
  <c r="U186" i="65" s="1"/>
  <c r="V186" i="65" s="1"/>
  <c r="W186" i="65" s="1"/>
  <c r="X186" i="65" s="1"/>
  <c r="Y186" i="65" s="1"/>
  <c r="Z186" i="65" s="1"/>
  <c r="AA186" i="65" s="1"/>
  <c r="AB186" i="65" s="1"/>
  <c r="R152" i="65"/>
  <c r="S152" i="65" s="1"/>
  <c r="T152" i="65" s="1"/>
  <c r="U152" i="65" s="1"/>
  <c r="V152" i="65" s="1"/>
  <c r="W152" i="65" s="1"/>
  <c r="X152" i="65" s="1"/>
  <c r="Y152" i="65" s="1"/>
  <c r="Z152" i="65" s="1"/>
  <c r="AA152" i="65" s="1"/>
  <c r="AB152" i="65" s="1"/>
  <c r="R17" i="65"/>
  <c r="S17" i="65" s="1"/>
  <c r="T17" i="65" s="1"/>
  <c r="U17" i="65" s="1"/>
  <c r="V17" i="65" s="1"/>
  <c r="W17" i="65" s="1"/>
  <c r="X17" i="65" s="1"/>
  <c r="Y17" i="65" s="1"/>
  <c r="Z17" i="65" s="1"/>
  <c r="AA17" i="65" s="1"/>
  <c r="AB17" i="65" s="1"/>
  <c r="O40" i="40"/>
  <c r="P17" i="40"/>
  <c r="O55" i="38"/>
  <c r="P55" i="38" s="1"/>
  <c r="Q55" i="38" s="1"/>
  <c r="R55" i="38" s="1"/>
  <c r="S55" i="38" s="1"/>
  <c r="T55" i="38" s="1"/>
  <c r="U55" i="38" s="1"/>
  <c r="V55" i="38" s="1"/>
  <c r="W55" i="38" s="1"/>
  <c r="O8" i="38"/>
  <c r="V34" i="39"/>
  <c r="W11" i="39"/>
  <c r="N73" i="39"/>
  <c r="S49" i="39"/>
  <c r="T49" i="39"/>
  <c r="O67" i="41"/>
  <c r="P67" i="41" s="1"/>
  <c r="Q67" i="41" s="1"/>
  <c r="R67" i="41" s="1"/>
  <c r="S67" i="41" s="1"/>
  <c r="T67" i="41" s="1"/>
  <c r="U67" i="41" s="1"/>
  <c r="V67" i="41" s="1"/>
  <c r="W67" i="41" s="1"/>
  <c r="O20" i="41"/>
  <c r="O70" i="41"/>
  <c r="P70" i="41" s="1"/>
  <c r="Q70" i="41" s="1"/>
  <c r="R70" i="41" s="1"/>
  <c r="S70" i="41" s="1"/>
  <c r="T70" i="41" s="1"/>
  <c r="U70" i="41" s="1"/>
  <c r="V70" i="41" s="1"/>
  <c r="W70" i="41" s="1"/>
  <c r="O23" i="41"/>
  <c r="S71" i="39"/>
  <c r="T71" i="39"/>
  <c r="V71" i="39" s="1"/>
  <c r="W71" i="39" s="1"/>
  <c r="X71" i="39" s="1"/>
  <c r="Y71" i="39" s="1"/>
  <c r="Z71" i="39" s="1"/>
  <c r="AA71" i="39" s="1"/>
  <c r="AB71" i="39" s="1"/>
  <c r="AC71" i="39" s="1"/>
  <c r="AD71" i="39" s="1"/>
  <c r="P17" i="38"/>
  <c r="O40" i="38"/>
  <c r="N39" i="41"/>
  <c r="N63" i="41" s="1"/>
  <c r="O16" i="41"/>
  <c r="F73" i="40"/>
  <c r="L49" i="40"/>
  <c r="M49" i="40"/>
  <c r="H28" i="28"/>
  <c r="H23" i="28"/>
  <c r="H30" i="28" s="1"/>
  <c r="M73" i="37"/>
  <c r="T49" i="37"/>
  <c r="S49" i="37"/>
  <c r="N23" i="28"/>
  <c r="N30" i="28" s="1"/>
  <c r="Z19" i="37"/>
  <c r="Y42" i="37"/>
  <c r="Q46" i="38"/>
  <c r="R23" i="38"/>
  <c r="R40" i="65"/>
  <c r="S40" i="65" s="1"/>
  <c r="R175" i="65"/>
  <c r="S175" i="65" s="1"/>
  <c r="T175" i="65" s="1"/>
  <c r="U175" i="65" s="1"/>
  <c r="V175" i="65" s="1"/>
  <c r="W175" i="65" s="1"/>
  <c r="X175" i="65" s="1"/>
  <c r="Y175" i="65" s="1"/>
  <c r="Z175" i="65" s="1"/>
  <c r="AA175" i="65" s="1"/>
  <c r="AB175" i="65" s="1"/>
  <c r="V31" i="43"/>
  <c r="V39" i="43" s="1"/>
  <c r="U31" i="43"/>
  <c r="U39" i="43" s="1"/>
  <c r="F117" i="25"/>
  <c r="G50" i="78"/>
  <c r="T39" i="65"/>
  <c r="U39" i="65" s="1"/>
  <c r="V39" i="65" s="1"/>
  <c r="W39" i="65" s="1"/>
  <c r="X39" i="65" s="1"/>
  <c r="Y39" i="65" s="1"/>
  <c r="Z39" i="65" s="1"/>
  <c r="AA39" i="65" s="1"/>
  <c r="AB39" i="65" s="1"/>
  <c r="K68" i="30"/>
  <c r="F58" i="30"/>
  <c r="I66" i="21" s="1"/>
  <c r="I4" i="69"/>
  <c r="I6" i="69"/>
  <c r="I7" i="69"/>
  <c r="K119" i="30"/>
  <c r="L20" i="74"/>
  <c r="R69" i="65"/>
  <c r="S69" i="65" s="1"/>
  <c r="R204" i="65"/>
  <c r="S204" i="65" s="1"/>
  <c r="T204" i="65" s="1"/>
  <c r="U204" i="65" s="1"/>
  <c r="V204" i="65" s="1"/>
  <c r="W204" i="65" s="1"/>
  <c r="X204" i="65" s="1"/>
  <c r="Y204" i="65" s="1"/>
  <c r="Z204" i="65" s="1"/>
  <c r="AA204" i="65" s="1"/>
  <c r="AB204" i="65" s="1"/>
  <c r="R64" i="65"/>
  <c r="S64" i="65" s="1"/>
  <c r="T64" i="65" s="1"/>
  <c r="U64" i="65" s="1"/>
  <c r="V64" i="65" s="1"/>
  <c r="W64" i="65" s="1"/>
  <c r="X64" i="65" s="1"/>
  <c r="Y64" i="65" s="1"/>
  <c r="Z64" i="65" s="1"/>
  <c r="AA64" i="65" s="1"/>
  <c r="AB64" i="65" s="1"/>
  <c r="R199" i="65"/>
  <c r="S199" i="65" s="1"/>
  <c r="T199" i="65" s="1"/>
  <c r="U199" i="65" s="1"/>
  <c r="V199" i="65" s="1"/>
  <c r="W199" i="65" s="1"/>
  <c r="X199" i="65" s="1"/>
  <c r="Y199" i="65" s="1"/>
  <c r="Z199" i="65" s="1"/>
  <c r="AA199" i="65" s="1"/>
  <c r="AB199" i="65" s="1"/>
  <c r="W72" i="21"/>
  <c r="AI72" i="21" s="1"/>
  <c r="AJ72" i="21" s="1"/>
  <c r="R90" i="21"/>
  <c r="S90" i="21" s="1"/>
  <c r="G89" i="21"/>
  <c r="R63" i="65"/>
  <c r="S63" i="65" s="1"/>
  <c r="R198" i="65"/>
  <c r="S198" i="65" s="1"/>
  <c r="T198" i="65" s="1"/>
  <c r="U198" i="65" s="1"/>
  <c r="V198" i="65" s="1"/>
  <c r="W198" i="65" s="1"/>
  <c r="X198" i="65" s="1"/>
  <c r="Y198" i="65" s="1"/>
  <c r="Z198" i="65" s="1"/>
  <c r="AA198" i="65" s="1"/>
  <c r="AB198" i="65" s="1"/>
  <c r="U32" i="39"/>
  <c r="U56" i="39" s="1"/>
  <c r="V9" i="39"/>
  <c r="P12" i="40"/>
  <c r="O35" i="40"/>
  <c r="T23" i="65"/>
  <c r="U23" i="65" s="1"/>
  <c r="V23" i="65" s="1"/>
  <c r="W23" i="65" s="1"/>
  <c r="X23" i="65" s="1"/>
  <c r="Y23" i="65" s="1"/>
  <c r="Z23" i="65" s="1"/>
  <c r="AA23" i="65" s="1"/>
  <c r="AB23" i="65" s="1"/>
  <c r="M65" i="38"/>
  <c r="L65" i="38"/>
  <c r="L73" i="38"/>
  <c r="M73" i="38"/>
  <c r="O73" i="38" s="1"/>
  <c r="P73" i="38" s="1"/>
  <c r="Q73" i="38" s="1"/>
  <c r="R73" i="38" s="1"/>
  <c r="S73" i="38" s="1"/>
  <c r="T73" i="38" s="1"/>
  <c r="U73" i="38" s="1"/>
  <c r="V73" i="38" s="1"/>
  <c r="W73" i="38" s="1"/>
  <c r="D64" i="25"/>
  <c r="W74" i="27"/>
  <c r="W86" i="27" s="1"/>
  <c r="O40" i="41"/>
  <c r="P17" i="41"/>
  <c r="S44" i="41"/>
  <c r="T21" i="41"/>
  <c r="U42" i="40"/>
  <c r="V19" i="40"/>
  <c r="U19" i="78"/>
  <c r="H58" i="30"/>
  <c r="J376" i="36"/>
  <c r="G375" i="36"/>
  <c r="G386" i="36" s="1"/>
  <c r="H63" i="35" s="1"/>
  <c r="M67" i="30"/>
  <c r="G54" i="30"/>
  <c r="R165" i="65"/>
  <c r="S165" i="65" s="1"/>
  <c r="T165" i="65" s="1"/>
  <c r="U165" i="65" s="1"/>
  <c r="V165" i="65" s="1"/>
  <c r="W165" i="65" s="1"/>
  <c r="X165" i="65" s="1"/>
  <c r="Y165" i="65" s="1"/>
  <c r="Z165" i="65" s="1"/>
  <c r="AA165" i="65" s="1"/>
  <c r="AB165" i="65" s="1"/>
  <c r="R30" i="65"/>
  <c r="S30" i="65" s="1"/>
  <c r="T30" i="65" s="1"/>
  <c r="U30" i="65" s="1"/>
  <c r="V30" i="65" s="1"/>
  <c r="W30" i="65" s="1"/>
  <c r="X30" i="65" s="1"/>
  <c r="Y30" i="65" s="1"/>
  <c r="Z30" i="65" s="1"/>
  <c r="AA30" i="65" s="1"/>
  <c r="AB30" i="65" s="1"/>
  <c r="R46" i="65"/>
  <c r="S46" i="65" s="1"/>
  <c r="T46" i="65" s="1"/>
  <c r="U46" i="65" s="1"/>
  <c r="V46" i="65" s="1"/>
  <c r="W46" i="65" s="1"/>
  <c r="X46" i="65" s="1"/>
  <c r="Y46" i="65" s="1"/>
  <c r="Z46" i="65" s="1"/>
  <c r="AA46" i="65" s="1"/>
  <c r="AB46" i="65" s="1"/>
  <c r="R181" i="65"/>
  <c r="S181" i="65" s="1"/>
  <c r="T181" i="65" s="1"/>
  <c r="U181" i="65" s="1"/>
  <c r="V181" i="65" s="1"/>
  <c r="W181" i="65" s="1"/>
  <c r="X181" i="65" s="1"/>
  <c r="Y181" i="65" s="1"/>
  <c r="Z181" i="65" s="1"/>
  <c r="AA181" i="65" s="1"/>
  <c r="AB181" i="65" s="1"/>
  <c r="R148" i="65"/>
  <c r="S148" i="65" s="1"/>
  <c r="T148" i="65" s="1"/>
  <c r="U148" i="65" s="1"/>
  <c r="V148" i="65" s="1"/>
  <c r="W148" i="65" s="1"/>
  <c r="X148" i="65" s="1"/>
  <c r="Y148" i="65" s="1"/>
  <c r="Z148" i="65" s="1"/>
  <c r="AA148" i="65" s="1"/>
  <c r="AB148" i="65" s="1"/>
  <c r="R13" i="65"/>
  <c r="S13" i="65" s="1"/>
  <c r="R5" i="65"/>
  <c r="S5" i="65" s="1"/>
  <c r="R140" i="65"/>
  <c r="S140" i="65" s="1"/>
  <c r="T140" i="65" s="1"/>
  <c r="U140" i="65" s="1"/>
  <c r="V140" i="65" s="1"/>
  <c r="W140" i="65" s="1"/>
  <c r="X140" i="65" s="1"/>
  <c r="Y140" i="65" s="1"/>
  <c r="Z140" i="65" s="1"/>
  <c r="AA140" i="65" s="1"/>
  <c r="AB140" i="65" s="1"/>
  <c r="R146" i="65"/>
  <c r="S146" i="65" s="1"/>
  <c r="T146" i="65" s="1"/>
  <c r="U146" i="65" s="1"/>
  <c r="V146" i="65" s="1"/>
  <c r="W146" i="65" s="1"/>
  <c r="X146" i="65" s="1"/>
  <c r="Y146" i="65" s="1"/>
  <c r="Z146" i="65" s="1"/>
  <c r="AA146" i="65" s="1"/>
  <c r="AB146" i="65" s="1"/>
  <c r="R11" i="65"/>
  <c r="S11" i="65" s="1"/>
  <c r="T11" i="65" s="1"/>
  <c r="U11" i="65" s="1"/>
  <c r="V11" i="65" s="1"/>
  <c r="W11" i="65" s="1"/>
  <c r="X11" i="65" s="1"/>
  <c r="Y11" i="65" s="1"/>
  <c r="M31" i="43"/>
  <c r="M39" i="43" s="1"/>
  <c r="Y39" i="43" s="1"/>
  <c r="O15" i="41"/>
  <c r="O62" i="41"/>
  <c r="P62" i="41" s="1"/>
  <c r="Q62" i="41" s="1"/>
  <c r="R62" i="41" s="1"/>
  <c r="S62" i="41" s="1"/>
  <c r="T62" i="41" s="1"/>
  <c r="U62" i="41" s="1"/>
  <c r="V62" i="41" s="1"/>
  <c r="W62" i="41" s="1"/>
  <c r="L60" i="40"/>
  <c r="M60" i="40"/>
  <c r="N44" i="40"/>
  <c r="N68" i="40" s="1"/>
  <c r="O21" i="40"/>
  <c r="N33" i="38"/>
  <c r="N57" i="38" s="1"/>
  <c r="O10" i="38"/>
  <c r="P218" i="21"/>
  <c r="E74" i="30"/>
  <c r="F134" i="30"/>
  <c r="T52" i="65"/>
  <c r="U52" i="65" s="1"/>
  <c r="V52" i="65" s="1"/>
  <c r="W52" i="65" s="1"/>
  <c r="X52" i="65" s="1"/>
  <c r="Y52" i="65" s="1"/>
  <c r="Z52" i="65" s="1"/>
  <c r="AA52" i="65" s="1"/>
  <c r="AB52" i="65" s="1"/>
  <c r="F426" i="36"/>
  <c r="F439" i="36" s="1"/>
  <c r="G78" i="35" s="1"/>
  <c r="Z23" i="43"/>
  <c r="Z35" i="43"/>
  <c r="J68" i="30"/>
  <c r="X22" i="21"/>
  <c r="R147" i="65"/>
  <c r="S147" i="65" s="1"/>
  <c r="T147" i="65" s="1"/>
  <c r="U147" i="65" s="1"/>
  <c r="V147" i="65" s="1"/>
  <c r="W147" i="65" s="1"/>
  <c r="X147" i="65" s="1"/>
  <c r="Y147" i="65" s="1"/>
  <c r="Z147" i="65" s="1"/>
  <c r="AA147" i="65" s="1"/>
  <c r="AB147" i="65" s="1"/>
  <c r="R12" i="65"/>
  <c r="S12" i="65" s="1"/>
  <c r="T12" i="65" s="1"/>
  <c r="U12" i="65" s="1"/>
  <c r="V12" i="65" s="1"/>
  <c r="W12" i="65" s="1"/>
  <c r="X12" i="65" s="1"/>
  <c r="Y12" i="65" s="1"/>
  <c r="Z12" i="65" s="1"/>
  <c r="AA12" i="65" s="1"/>
  <c r="AB12" i="65" s="1"/>
  <c r="R149" i="65"/>
  <c r="S149" i="65" s="1"/>
  <c r="T149" i="65" s="1"/>
  <c r="U149" i="65" s="1"/>
  <c r="V149" i="65" s="1"/>
  <c r="W149" i="65" s="1"/>
  <c r="X149" i="65" s="1"/>
  <c r="Y149" i="65" s="1"/>
  <c r="Z149" i="65" s="1"/>
  <c r="AA149" i="65" s="1"/>
  <c r="AB149" i="65" s="1"/>
  <c r="R14" i="65"/>
  <c r="S14" i="65" s="1"/>
  <c r="T14" i="65" s="1"/>
  <c r="U14" i="65" s="1"/>
  <c r="V14" i="65" s="1"/>
  <c r="W14" i="65" s="1"/>
  <c r="X14" i="65" s="1"/>
  <c r="Y14" i="65" s="1"/>
  <c r="Z14" i="65" s="1"/>
  <c r="AA14" i="65" s="1"/>
  <c r="AB14" i="65" s="1"/>
  <c r="N42" i="38"/>
  <c r="N66" i="38" s="1"/>
  <c r="O19" i="38"/>
  <c r="C93" i="25"/>
  <c r="R62" i="65"/>
  <c r="S62" i="65" s="1"/>
  <c r="T62" i="65" s="1"/>
  <c r="U62" i="65" s="1"/>
  <c r="V62" i="65" s="1"/>
  <c r="W62" i="65" s="1"/>
  <c r="X62" i="65" s="1"/>
  <c r="Y62" i="65" s="1"/>
  <c r="Z62" i="65" s="1"/>
  <c r="AA62" i="65" s="1"/>
  <c r="AB62" i="65" s="1"/>
  <c r="R197" i="65"/>
  <c r="S197" i="65" s="1"/>
  <c r="T197" i="65" s="1"/>
  <c r="U197" i="65" s="1"/>
  <c r="V197" i="65" s="1"/>
  <c r="W197" i="65" s="1"/>
  <c r="X197" i="65" s="1"/>
  <c r="Y197" i="65" s="1"/>
  <c r="Z197" i="65" s="1"/>
  <c r="AA197" i="65" s="1"/>
  <c r="AB197" i="65" s="1"/>
  <c r="T44" i="65"/>
  <c r="U44" i="65" s="1"/>
  <c r="V44" i="65" s="1"/>
  <c r="W44" i="65" s="1"/>
  <c r="X44" i="65" s="1"/>
  <c r="Y44" i="65" s="1"/>
  <c r="Z44" i="65" s="1"/>
  <c r="AA44" i="65" s="1"/>
  <c r="AB44" i="65" s="1"/>
  <c r="P18" i="40"/>
  <c r="O60" i="38"/>
  <c r="P60" i="38" s="1"/>
  <c r="Q60" i="38" s="1"/>
  <c r="R60" i="38" s="1"/>
  <c r="S60" i="38" s="1"/>
  <c r="T60" i="38" s="1"/>
  <c r="U60" i="38" s="1"/>
  <c r="V60" i="38" s="1"/>
  <c r="W60" i="38" s="1"/>
  <c r="O13" i="38"/>
  <c r="R20" i="65"/>
  <c r="S20" i="65" s="1"/>
  <c r="T20" i="65" s="1"/>
  <c r="U20" i="65" s="1"/>
  <c r="V20" i="65" s="1"/>
  <c r="W20" i="65" s="1"/>
  <c r="X20" i="65" s="1"/>
  <c r="Y20" i="65" s="1"/>
  <c r="Z20" i="65" s="1"/>
  <c r="AA20" i="65" s="1"/>
  <c r="AB20" i="65" s="1"/>
  <c r="R155" i="65"/>
  <c r="S155" i="65" s="1"/>
  <c r="T155" i="65" s="1"/>
  <c r="U155" i="65" s="1"/>
  <c r="V155" i="65" s="1"/>
  <c r="W155" i="65" s="1"/>
  <c r="X155" i="65" s="1"/>
  <c r="Y155" i="65" s="1"/>
  <c r="Z155" i="65" s="1"/>
  <c r="AA155" i="65" s="1"/>
  <c r="AB155" i="65" s="1"/>
  <c r="L68" i="40"/>
  <c r="M68" i="40"/>
  <c r="O68" i="40" s="1"/>
  <c r="P68" i="40" s="1"/>
  <c r="Q68" i="40" s="1"/>
  <c r="R68" i="40" s="1"/>
  <c r="S68" i="40" s="1"/>
  <c r="T68" i="40" s="1"/>
  <c r="U68" i="40" s="1"/>
  <c r="V68" i="40" s="1"/>
  <c r="W68" i="40" s="1"/>
  <c r="N38" i="38"/>
  <c r="N62" i="38" s="1"/>
  <c r="O15" i="38"/>
  <c r="M57" i="38"/>
  <c r="O57" i="38" s="1"/>
  <c r="P57" i="38" s="1"/>
  <c r="Q57" i="38" s="1"/>
  <c r="R57" i="38" s="1"/>
  <c r="S57" i="38" s="1"/>
  <c r="T57" i="38" s="1"/>
  <c r="U57" i="38" s="1"/>
  <c r="V57" i="38" s="1"/>
  <c r="W57" i="38" s="1"/>
  <c r="L57" i="38"/>
  <c r="V43" i="39"/>
  <c r="W20" i="39"/>
  <c r="F104" i="21"/>
  <c r="P104" i="21" s="1"/>
  <c r="AA104" i="21" s="1"/>
  <c r="R105" i="21"/>
  <c r="P105" i="21"/>
  <c r="AD39" i="26"/>
  <c r="E20" i="25"/>
  <c r="E16" i="25"/>
  <c r="Z8" i="39"/>
  <c r="Y31" i="39"/>
  <c r="AD44" i="27"/>
  <c r="Y30" i="37"/>
  <c r="Y25" i="37"/>
  <c r="Z7" i="37"/>
  <c r="T47" i="38"/>
  <c r="U24" i="38"/>
  <c r="Z85" i="78"/>
  <c r="P47" i="64"/>
  <c r="Y23" i="43"/>
  <c r="P211" i="78"/>
  <c r="AC27" i="26"/>
  <c r="V22" i="21"/>
  <c r="AG22" i="21" s="1"/>
  <c r="AH22" i="21" s="1"/>
  <c r="P22" i="21"/>
  <c r="Q72" i="21"/>
  <c r="R56" i="65"/>
  <c r="S56" i="65" s="1"/>
  <c r="R191" i="65"/>
  <c r="S191" i="65" s="1"/>
  <c r="T191" i="65" s="1"/>
  <c r="U191" i="65" s="1"/>
  <c r="V191" i="65" s="1"/>
  <c r="W191" i="65" s="1"/>
  <c r="X191" i="65" s="1"/>
  <c r="Y191" i="65" s="1"/>
  <c r="Z191" i="65" s="1"/>
  <c r="AA191" i="65" s="1"/>
  <c r="AB191" i="65" s="1"/>
  <c r="R32" i="65"/>
  <c r="S32" i="65" s="1"/>
  <c r="R167" i="65"/>
  <c r="S167" i="65" s="1"/>
  <c r="T167" i="65" s="1"/>
  <c r="U167" i="65" s="1"/>
  <c r="V167" i="65" s="1"/>
  <c r="W167" i="65" s="1"/>
  <c r="X167" i="65" s="1"/>
  <c r="Y167" i="65" s="1"/>
  <c r="Z167" i="65" s="1"/>
  <c r="AA167" i="65" s="1"/>
  <c r="AB167" i="65" s="1"/>
  <c r="R7" i="65"/>
  <c r="S7" i="65" s="1"/>
  <c r="R142" i="65"/>
  <c r="S142" i="65" s="1"/>
  <c r="T142" i="65" s="1"/>
  <c r="U142" i="65" s="1"/>
  <c r="V142" i="65" s="1"/>
  <c r="W142" i="65" s="1"/>
  <c r="X142" i="65" s="1"/>
  <c r="Y142" i="65" s="1"/>
  <c r="Z142" i="65" s="1"/>
  <c r="AA142" i="65" s="1"/>
  <c r="AB142" i="65" s="1"/>
  <c r="R61" i="65"/>
  <c r="S61" i="65" s="1"/>
  <c r="R196" i="65"/>
  <c r="S196" i="65" s="1"/>
  <c r="T196" i="65" s="1"/>
  <c r="U196" i="65" s="1"/>
  <c r="V196" i="65" s="1"/>
  <c r="W196" i="65" s="1"/>
  <c r="X196" i="65" s="1"/>
  <c r="Y196" i="65" s="1"/>
  <c r="Z196" i="65" s="1"/>
  <c r="AA196" i="65" s="1"/>
  <c r="AB196" i="65" s="1"/>
  <c r="E117" i="25"/>
  <c r="T31" i="43"/>
  <c r="T39" i="43" s="1"/>
  <c r="D117" i="25"/>
  <c r="S31" i="43"/>
  <c r="S39" i="43" s="1"/>
  <c r="V33" i="39"/>
  <c r="W10" i="39"/>
  <c r="R28" i="65"/>
  <c r="S28" i="65" s="1"/>
  <c r="R163" i="65"/>
  <c r="S163" i="65" s="1"/>
  <c r="T163" i="65" s="1"/>
  <c r="U163" i="65" s="1"/>
  <c r="V163" i="65" s="1"/>
  <c r="W163" i="65" s="1"/>
  <c r="X163" i="65" s="1"/>
  <c r="Y163" i="65" s="1"/>
  <c r="Z163" i="65" s="1"/>
  <c r="AA163" i="65" s="1"/>
  <c r="AB163" i="65" s="1"/>
  <c r="V41" i="39"/>
  <c r="W18" i="39"/>
  <c r="P98" i="78"/>
  <c r="F97" i="78"/>
  <c r="R22" i="40"/>
  <c r="Q45" i="40"/>
  <c r="AD43" i="26"/>
  <c r="AC43" i="26"/>
  <c r="AD39" i="27"/>
  <c r="F6" i="41"/>
  <c r="R33" i="41"/>
  <c r="S10" i="41"/>
  <c r="AA45" i="39"/>
  <c r="AB22" i="39"/>
  <c r="X33" i="37"/>
  <c r="Y10" i="37"/>
  <c r="X48" i="37"/>
  <c r="X49" i="37"/>
  <c r="U20" i="38"/>
  <c r="T43" i="38"/>
  <c r="K66" i="21"/>
  <c r="K138" i="21"/>
  <c r="K133" i="21" s="1"/>
  <c r="K95" i="78"/>
  <c r="K176" i="78"/>
  <c r="K171" i="78" s="1"/>
  <c r="K101" i="21"/>
  <c r="K29" i="21"/>
  <c r="K29" i="78"/>
  <c r="K131" i="78"/>
  <c r="K126" i="78" s="1"/>
  <c r="K183" i="21"/>
  <c r="K178" i="21" s="1"/>
  <c r="K62" i="78"/>
  <c r="S54" i="78"/>
  <c r="N68" i="21"/>
  <c r="N103" i="21"/>
  <c r="N31" i="21"/>
  <c r="I101" i="21"/>
  <c r="AA22" i="43"/>
  <c r="AB38" i="43"/>
  <c r="AC38" i="43" s="1"/>
  <c r="AD38" i="43" s="1"/>
  <c r="AE38" i="43" s="1"/>
  <c r="AF38" i="43" s="1"/>
  <c r="AG38" i="43" s="1"/>
  <c r="AH38" i="43" s="1"/>
  <c r="AI38" i="43" s="1"/>
  <c r="AJ38" i="43" s="1"/>
  <c r="AK38" i="43" s="1"/>
  <c r="H31" i="21"/>
  <c r="H103" i="21"/>
  <c r="H68" i="21"/>
  <c r="G103" i="21"/>
  <c r="G68" i="21"/>
  <c r="G31" i="21"/>
  <c r="L74" i="30"/>
  <c r="X24" i="21"/>
  <c r="V24" i="21"/>
  <c r="R24" i="21"/>
  <c r="P24" i="21"/>
  <c r="S52" i="78"/>
  <c r="W24" i="21"/>
  <c r="AI24" i="21" s="1"/>
  <c r="AJ24" i="21" s="1"/>
  <c r="F31" i="21"/>
  <c r="F103" i="21"/>
  <c r="F68" i="21"/>
  <c r="Z86" i="78"/>
  <c r="H78" i="78"/>
  <c r="H12" i="78"/>
  <c r="X55" i="21"/>
  <c r="W55" i="21"/>
  <c r="P55" i="21"/>
  <c r="T51" i="78"/>
  <c r="P51" i="78"/>
  <c r="T33" i="65"/>
  <c r="U33" i="65" s="1"/>
  <c r="V33" i="65" s="1"/>
  <c r="W33" i="65" s="1"/>
  <c r="X33" i="65" s="1"/>
  <c r="Y33" i="65" s="1"/>
  <c r="Z33" i="65" s="1"/>
  <c r="AA33" i="65" s="1"/>
  <c r="AB33" i="65" s="1"/>
  <c r="R58" i="65"/>
  <c r="S58" i="65" s="1"/>
  <c r="R193" i="65"/>
  <c r="S193" i="65" s="1"/>
  <c r="T193" i="65" s="1"/>
  <c r="U193" i="65" s="1"/>
  <c r="V193" i="65" s="1"/>
  <c r="W193" i="65" s="1"/>
  <c r="X193" i="65" s="1"/>
  <c r="Y193" i="65" s="1"/>
  <c r="Z193" i="65" s="1"/>
  <c r="AA193" i="65" s="1"/>
  <c r="AB193" i="65" s="1"/>
  <c r="T27" i="65"/>
  <c r="U27" i="65" s="1"/>
  <c r="V27" i="65" s="1"/>
  <c r="W27" i="65" s="1"/>
  <c r="X27" i="65" s="1"/>
  <c r="Y27" i="65" s="1"/>
  <c r="Z27" i="65" s="1"/>
  <c r="AA27" i="65" s="1"/>
  <c r="AB27" i="65" s="1"/>
  <c r="H410" i="36"/>
  <c r="H404" i="36"/>
  <c r="I82" i="35"/>
  <c r="J371" i="36"/>
  <c r="E66" i="35"/>
  <c r="H17" i="22"/>
  <c r="H15" i="22"/>
  <c r="H19" i="22"/>
  <c r="H12" i="22"/>
  <c r="H28" i="22"/>
  <c r="H16" i="22"/>
  <c r="H11" i="22"/>
  <c r="H29" i="22"/>
  <c r="H30" i="22"/>
  <c r="H6" i="22"/>
  <c r="H20" i="22"/>
  <c r="H25" i="22"/>
  <c r="H24" i="22"/>
  <c r="H18" i="22"/>
  <c r="H14" i="22"/>
  <c r="H3" i="22"/>
  <c r="P33" i="21"/>
  <c r="R33" i="21"/>
  <c r="F32" i="21"/>
  <c r="P32" i="21" s="1"/>
  <c r="F64" i="78"/>
  <c r="R65" i="78"/>
  <c r="N48" i="41"/>
  <c r="N72" i="41" s="1"/>
  <c r="N49" i="41"/>
  <c r="N73" i="41" s="1"/>
  <c r="O49" i="41"/>
  <c r="O48" i="41"/>
  <c r="L68" i="30"/>
  <c r="M57" i="30"/>
  <c r="M56" i="30"/>
  <c r="C54" i="30"/>
  <c r="AC36" i="33"/>
  <c r="AD36" i="33"/>
  <c r="AA46" i="27"/>
  <c r="AC46" i="27" s="1"/>
  <c r="AC34" i="27"/>
  <c r="AC39" i="27" s="1"/>
  <c r="AA39" i="27"/>
  <c r="AA51" i="27" s="1"/>
  <c r="AC51" i="27" s="1"/>
  <c r="X97" i="27"/>
  <c r="X61" i="27" s="1"/>
  <c r="W97" i="27"/>
  <c r="V97" i="27"/>
  <c r="V61" i="27" s="1"/>
  <c r="AA99" i="26"/>
  <c r="AD97" i="26"/>
  <c r="C6" i="41"/>
  <c r="D29" i="41" s="1"/>
  <c r="D53" i="41" s="1"/>
  <c r="J29" i="37"/>
  <c r="J53" i="37" s="1"/>
  <c r="K29" i="37"/>
  <c r="K53" i="37" s="1"/>
  <c r="V47" i="37"/>
  <c r="W24" i="37"/>
  <c r="I58" i="30"/>
  <c r="U28" i="29"/>
  <c r="U23" i="29"/>
  <c r="U30" i="29" s="1"/>
  <c r="AH60" i="26"/>
  <c r="AG72" i="26"/>
  <c r="AG47" i="32"/>
  <c r="L35" i="25"/>
  <c r="Q92" i="21"/>
  <c r="Y92" i="21"/>
  <c r="O28" i="64"/>
  <c r="F40" i="36"/>
  <c r="F42" i="36" s="1"/>
  <c r="R178" i="65"/>
  <c r="S178" i="65" s="1"/>
  <c r="T178" i="65" s="1"/>
  <c r="U178" i="65" s="1"/>
  <c r="V178" i="65" s="1"/>
  <c r="W178" i="65" s="1"/>
  <c r="X178" i="65" s="1"/>
  <c r="Y178" i="65" s="1"/>
  <c r="Z178" i="65" s="1"/>
  <c r="AA178" i="65" s="1"/>
  <c r="AB178" i="65" s="1"/>
  <c r="R43" i="65"/>
  <c r="S43" i="65" s="1"/>
  <c r="R200" i="65"/>
  <c r="S200" i="65" s="1"/>
  <c r="T200" i="65" s="1"/>
  <c r="U200" i="65" s="1"/>
  <c r="V200" i="65" s="1"/>
  <c r="W200" i="65" s="1"/>
  <c r="X200" i="65" s="1"/>
  <c r="Y200" i="65" s="1"/>
  <c r="Z200" i="65" s="1"/>
  <c r="AA200" i="65" s="1"/>
  <c r="AB200" i="65" s="1"/>
  <c r="R65" i="65"/>
  <c r="S65" i="65" s="1"/>
  <c r="R66" i="65"/>
  <c r="S66" i="65" s="1"/>
  <c r="R201" i="65"/>
  <c r="S201" i="65" s="1"/>
  <c r="T201" i="65" s="1"/>
  <c r="U201" i="65" s="1"/>
  <c r="V201" i="65" s="1"/>
  <c r="W201" i="65" s="1"/>
  <c r="X201" i="65" s="1"/>
  <c r="Y201" i="65" s="1"/>
  <c r="Z201" i="65" s="1"/>
  <c r="AA201" i="65" s="1"/>
  <c r="AB201" i="65" s="1"/>
  <c r="E38" i="43"/>
  <c r="Z30" i="43"/>
  <c r="Y30" i="43"/>
  <c r="D372" i="36"/>
  <c r="D385" i="36" s="1"/>
  <c r="D368" i="36"/>
  <c r="D374" i="36"/>
  <c r="D373" i="36"/>
  <c r="W77" i="22"/>
  <c r="Y38" i="43"/>
  <c r="H69" i="22"/>
  <c r="H55" i="22"/>
  <c r="H42" i="22"/>
  <c r="H73" i="10"/>
  <c r="G10" i="22"/>
  <c r="G33" i="22" s="1"/>
  <c r="Y36" i="43"/>
  <c r="Z36" i="43"/>
  <c r="AA36" i="43" s="1"/>
  <c r="F73" i="41"/>
  <c r="M49" i="41"/>
  <c r="L49" i="41"/>
  <c r="Q11" i="41"/>
  <c r="P34" i="41"/>
  <c r="V35" i="37"/>
  <c r="W12" i="37"/>
  <c r="K67" i="21"/>
  <c r="K206" i="78"/>
  <c r="K197" i="78" s="1"/>
  <c r="K63" i="78"/>
  <c r="K96" i="78"/>
  <c r="H83" i="30"/>
  <c r="K30" i="78"/>
  <c r="K168" i="21"/>
  <c r="K159" i="21" s="1"/>
  <c r="K161" i="78"/>
  <c r="K152" i="78" s="1"/>
  <c r="H85" i="30"/>
  <c r="K30" i="21"/>
  <c r="K102" i="21"/>
  <c r="K213" i="21"/>
  <c r="K204" i="21" s="1"/>
  <c r="G68" i="30"/>
  <c r="H29" i="37"/>
  <c r="H53" i="37" s="1"/>
  <c r="G29" i="37"/>
  <c r="G53" i="37" s="1"/>
  <c r="V34" i="37"/>
  <c r="W11" i="37"/>
  <c r="V32" i="37"/>
  <c r="W9" i="37"/>
  <c r="I54" i="30"/>
  <c r="AC33" i="33"/>
  <c r="AD33" i="33"/>
  <c r="AE98" i="26"/>
  <c r="AE100" i="26" s="1"/>
  <c r="Y99" i="26"/>
  <c r="Q29" i="28"/>
  <c r="Q23" i="28"/>
  <c r="Q30" i="28" s="1"/>
  <c r="D58" i="30"/>
  <c r="G29" i="29"/>
  <c r="G23" i="29"/>
  <c r="G30" i="29" s="1"/>
  <c r="T23" i="29"/>
  <c r="T30" i="29" s="1"/>
  <c r="AA11" i="21"/>
  <c r="AE11" i="21"/>
  <c r="Y11" i="21"/>
  <c r="Z40" i="78"/>
  <c r="U40" i="78"/>
  <c r="I68" i="21"/>
  <c r="I31" i="21"/>
  <c r="I103" i="21"/>
  <c r="X19" i="21"/>
  <c r="W19" i="21"/>
  <c r="P19" i="21"/>
  <c r="AE57" i="21"/>
  <c r="AA57" i="21"/>
  <c r="Z20" i="78"/>
  <c r="R173" i="65"/>
  <c r="S173" i="65" s="1"/>
  <c r="T173" i="65" s="1"/>
  <c r="U173" i="65" s="1"/>
  <c r="V173" i="65" s="1"/>
  <c r="W173" i="65" s="1"/>
  <c r="X173" i="65" s="1"/>
  <c r="Y173" i="65" s="1"/>
  <c r="Z173" i="65" s="1"/>
  <c r="AA173" i="65" s="1"/>
  <c r="AB173" i="65" s="1"/>
  <c r="R38" i="65"/>
  <c r="S38" i="65" s="1"/>
  <c r="R47" i="65"/>
  <c r="S47" i="65" s="1"/>
  <c r="R182" i="65"/>
  <c r="S182" i="65" s="1"/>
  <c r="T182" i="65" s="1"/>
  <c r="U182" i="65" s="1"/>
  <c r="V182" i="65" s="1"/>
  <c r="W182" i="65" s="1"/>
  <c r="X182" i="65" s="1"/>
  <c r="Y182" i="65" s="1"/>
  <c r="Z182" i="65" s="1"/>
  <c r="AA182" i="65" s="1"/>
  <c r="AB182" i="65" s="1"/>
  <c r="H98" i="35"/>
  <c r="G457" i="36"/>
  <c r="G463" i="36"/>
  <c r="D367" i="36"/>
  <c r="D369" i="36" s="1"/>
  <c r="D384" i="36" s="1"/>
  <c r="L98" i="35"/>
  <c r="AF62" i="32"/>
  <c r="AD19" i="43"/>
  <c r="AC27" i="43"/>
  <c r="L112" i="25"/>
  <c r="F31" i="78"/>
  <c r="E68" i="30"/>
  <c r="N63" i="78"/>
  <c r="N96" i="78"/>
  <c r="N161" i="78"/>
  <c r="N152" i="78" s="1"/>
  <c r="N206" i="78"/>
  <c r="N197" i="78" s="1"/>
  <c r="N213" i="21"/>
  <c r="N204" i="21" s="1"/>
  <c r="N168" i="21"/>
  <c r="N159" i="21" s="1"/>
  <c r="N67" i="21"/>
  <c r="N102" i="21"/>
  <c r="N30" i="78"/>
  <c r="N30" i="21"/>
  <c r="P9" i="40"/>
  <c r="O32" i="40"/>
  <c r="U49" i="37"/>
  <c r="U73" i="37" s="1"/>
  <c r="V48" i="37"/>
  <c r="U48" i="37"/>
  <c r="U72" i="37" s="1"/>
  <c r="V49" i="37"/>
  <c r="K54" i="30"/>
  <c r="K85" i="30" s="1"/>
  <c r="AC26" i="33"/>
  <c r="AE99" i="27"/>
  <c r="V91" i="27"/>
  <c r="V55" i="27" s="1"/>
  <c r="R6" i="37"/>
  <c r="I3" i="25"/>
  <c r="J6" i="41"/>
  <c r="Q29" i="37"/>
  <c r="V36" i="37"/>
  <c r="W13" i="37"/>
  <c r="G58" i="30"/>
  <c r="M62" i="30"/>
  <c r="V94" i="26"/>
  <c r="V58" i="26" s="1"/>
  <c r="AE99" i="26"/>
  <c r="V99" i="26" s="1"/>
  <c r="W25" i="38"/>
  <c r="W48" i="38" s="1"/>
  <c r="V48" i="38"/>
  <c r="AD18" i="37"/>
  <c r="AD41" i="37" s="1"/>
  <c r="AC41" i="37"/>
  <c r="Z42" i="39"/>
  <c r="AA19" i="39"/>
  <c r="P10" i="78"/>
  <c r="R10" i="78"/>
  <c r="H8" i="78"/>
  <c r="H6" i="78" s="1"/>
  <c r="G41" i="78"/>
  <c r="G74" i="78"/>
  <c r="H74" i="78"/>
  <c r="H45" i="21"/>
  <c r="G45" i="21"/>
  <c r="G8" i="78"/>
  <c r="H41" i="78"/>
  <c r="H80" i="21"/>
  <c r="G80" i="21"/>
  <c r="H184" i="30"/>
  <c r="H9" i="21"/>
  <c r="G9" i="21"/>
  <c r="H75" i="78"/>
  <c r="H9" i="78"/>
  <c r="H42" i="78"/>
  <c r="H46" i="21"/>
  <c r="H10" i="21"/>
  <c r="H81" i="21"/>
  <c r="H190" i="30"/>
  <c r="R47" i="21"/>
  <c r="P47" i="21"/>
  <c r="T54" i="78"/>
  <c r="U54" i="78" s="1"/>
  <c r="U21" i="78"/>
  <c r="Z21" i="78"/>
  <c r="Q41" i="21"/>
  <c r="X90" i="21"/>
  <c r="W90" i="21"/>
  <c r="P90" i="21"/>
  <c r="AE92" i="21"/>
  <c r="R49" i="65"/>
  <c r="S49" i="65" s="1"/>
  <c r="T49" i="65" s="1"/>
  <c r="U49" i="65" s="1"/>
  <c r="V49" i="65" s="1"/>
  <c r="W49" i="65" s="1"/>
  <c r="X49" i="65" s="1"/>
  <c r="Y49" i="65" s="1"/>
  <c r="Z49" i="65" s="1"/>
  <c r="AA49" i="65" s="1"/>
  <c r="AB49" i="65" s="1"/>
  <c r="R184" i="65"/>
  <c r="S184" i="65" s="1"/>
  <c r="T184" i="65" s="1"/>
  <c r="U184" i="65" s="1"/>
  <c r="V184" i="65" s="1"/>
  <c r="W184" i="65" s="1"/>
  <c r="X184" i="65" s="1"/>
  <c r="Y184" i="65" s="1"/>
  <c r="Z184" i="65" s="1"/>
  <c r="AA184" i="65" s="1"/>
  <c r="AB184" i="65" s="1"/>
  <c r="R60" i="65"/>
  <c r="S60" i="65" s="1"/>
  <c r="R195" i="65"/>
  <c r="S195" i="65" s="1"/>
  <c r="T195" i="65" s="1"/>
  <c r="U195" i="65" s="1"/>
  <c r="V195" i="65" s="1"/>
  <c r="W195" i="65" s="1"/>
  <c r="X195" i="65" s="1"/>
  <c r="Y195" i="65" s="1"/>
  <c r="Z195" i="65" s="1"/>
  <c r="AA195" i="65" s="1"/>
  <c r="AB195" i="65" s="1"/>
  <c r="S8" i="65"/>
  <c r="R42" i="65"/>
  <c r="S42" i="65" s="1"/>
  <c r="R177" i="65"/>
  <c r="S177" i="65" s="1"/>
  <c r="T177" i="65" s="1"/>
  <c r="U177" i="65" s="1"/>
  <c r="V177" i="65" s="1"/>
  <c r="W177" i="65" s="1"/>
  <c r="X177" i="65" s="1"/>
  <c r="Y177" i="65" s="1"/>
  <c r="Z177" i="65" s="1"/>
  <c r="AA177" i="65" s="1"/>
  <c r="AB177" i="65" s="1"/>
  <c r="J370" i="36"/>
  <c r="I357" i="36"/>
  <c r="I351" i="36"/>
  <c r="J66" i="35"/>
  <c r="K98" i="35"/>
  <c r="J464" i="36"/>
  <c r="G369" i="36"/>
  <c r="G384" i="36" s="1"/>
  <c r="H61" i="35" s="1"/>
  <c r="K457" i="36"/>
  <c r="AI60" i="32"/>
  <c r="AH62" i="32"/>
  <c r="M64" i="30"/>
  <c r="V39" i="37"/>
  <c r="W16" i="37"/>
  <c r="D68" i="30"/>
  <c r="V13" i="39"/>
  <c r="J115" i="25"/>
  <c r="AB21" i="43"/>
  <c r="AA29" i="43"/>
  <c r="L54" i="30"/>
  <c r="AC62" i="27"/>
  <c r="AD62" i="27"/>
  <c r="E64" i="25"/>
  <c r="X74" i="27"/>
  <c r="Y74" i="27"/>
  <c r="Y86" i="27" s="1"/>
  <c r="AC86" i="27" s="1"/>
  <c r="E6" i="25"/>
  <c r="M29" i="39"/>
  <c r="N29" i="39"/>
  <c r="N53" i="39" s="1"/>
  <c r="AC91" i="27"/>
  <c r="I27" i="29"/>
  <c r="I23" i="29"/>
  <c r="I30" i="29" s="1"/>
  <c r="W29" i="28"/>
  <c r="W23" i="28"/>
  <c r="W30" i="28" s="1"/>
  <c r="J58" i="30"/>
  <c r="E28" i="29"/>
  <c r="E23" i="29"/>
  <c r="E30" i="29" s="1"/>
  <c r="AC94" i="26"/>
  <c r="U13" i="41"/>
  <c r="T36" i="41"/>
  <c r="P87" i="78"/>
  <c r="U53" i="78"/>
  <c r="U78" i="21"/>
  <c r="H36" i="74"/>
  <c r="I36" i="74" s="1"/>
  <c r="I38" i="74" s="1"/>
  <c r="S53" i="78"/>
  <c r="O30" i="64"/>
  <c r="F43" i="36"/>
  <c r="R194" i="65"/>
  <c r="S194" i="65" s="1"/>
  <c r="T194" i="65" s="1"/>
  <c r="U194" i="65" s="1"/>
  <c r="V194" i="65" s="1"/>
  <c r="W194" i="65" s="1"/>
  <c r="X194" i="65" s="1"/>
  <c r="Y194" i="65" s="1"/>
  <c r="Z194" i="65" s="1"/>
  <c r="AA194" i="65" s="1"/>
  <c r="AB194" i="65" s="1"/>
  <c r="R59" i="65"/>
  <c r="S59" i="65" s="1"/>
  <c r="R180" i="65"/>
  <c r="S180" i="65" s="1"/>
  <c r="T180" i="65" s="1"/>
  <c r="U180" i="65" s="1"/>
  <c r="V180" i="65" s="1"/>
  <c r="W180" i="65" s="1"/>
  <c r="X180" i="65" s="1"/>
  <c r="Y180" i="65" s="1"/>
  <c r="Z180" i="65" s="1"/>
  <c r="AA180" i="65" s="1"/>
  <c r="AB180" i="65" s="1"/>
  <c r="R45" i="65"/>
  <c r="S45" i="65" s="1"/>
  <c r="R34" i="65"/>
  <c r="S34" i="65" s="1"/>
  <c r="T34" i="65" s="1"/>
  <c r="U34" i="65" s="1"/>
  <c r="V34" i="65" s="1"/>
  <c r="W34" i="65" s="1"/>
  <c r="X34" i="65" s="1"/>
  <c r="Y34" i="65" s="1"/>
  <c r="Z34" i="65" s="1"/>
  <c r="AA34" i="65" s="1"/>
  <c r="AB34" i="65" s="1"/>
  <c r="R169" i="65"/>
  <c r="S169" i="65" s="1"/>
  <c r="T169" i="65" s="1"/>
  <c r="U169" i="65" s="1"/>
  <c r="V169" i="65" s="1"/>
  <c r="W169" i="65" s="1"/>
  <c r="X169" i="65" s="1"/>
  <c r="Y169" i="65" s="1"/>
  <c r="Z169" i="65" s="1"/>
  <c r="AA169" i="65" s="1"/>
  <c r="AB169" i="65" s="1"/>
  <c r="R190" i="65"/>
  <c r="S190" i="65" s="1"/>
  <c r="T190" i="65" s="1"/>
  <c r="U190" i="65" s="1"/>
  <c r="V190" i="65" s="1"/>
  <c r="W190" i="65" s="1"/>
  <c r="X190" i="65" s="1"/>
  <c r="Y190" i="65" s="1"/>
  <c r="Z190" i="65" s="1"/>
  <c r="AA190" i="65" s="1"/>
  <c r="AB190" i="65" s="1"/>
  <c r="R55" i="65"/>
  <c r="S55" i="65" s="1"/>
  <c r="I463" i="36"/>
  <c r="J98" i="35"/>
  <c r="I457" i="36"/>
  <c r="L66" i="35"/>
  <c r="K351" i="36"/>
  <c r="K357" i="36"/>
  <c r="E410" i="36"/>
  <c r="E404" i="36"/>
  <c r="F82" i="35"/>
  <c r="J351" i="36"/>
  <c r="L100" i="35"/>
  <c r="K480" i="36"/>
  <c r="K481" i="36"/>
  <c r="K478" i="36"/>
  <c r="K479" i="36" s="1"/>
  <c r="K492" i="36" s="1"/>
  <c r="L94" i="35" s="1"/>
  <c r="K484" i="36"/>
  <c r="K475" i="36"/>
  <c r="K483" i="36"/>
  <c r="K477" i="36"/>
  <c r="K474" i="36"/>
  <c r="V11" i="64"/>
  <c r="AA13" i="64"/>
  <c r="AB13" i="64" s="1"/>
  <c r="AC13" i="64" s="1"/>
  <c r="AD13" i="64" s="1"/>
  <c r="AE13" i="64" s="1"/>
  <c r="AF13" i="64" s="1"/>
  <c r="AG13" i="64" s="1"/>
  <c r="AH13" i="64" s="1"/>
  <c r="AI13" i="64" s="1"/>
  <c r="AJ13" i="64" s="1"/>
  <c r="AK13" i="64" s="1"/>
  <c r="X58" i="32"/>
  <c r="X56" i="32"/>
  <c r="X61" i="32"/>
  <c r="V17" i="39"/>
  <c r="V64" i="39"/>
  <c r="W64" i="39" s="1"/>
  <c r="X64" i="39" s="1"/>
  <c r="Y64" i="39" s="1"/>
  <c r="Z64" i="39" s="1"/>
  <c r="AA64" i="39" s="1"/>
  <c r="AB64" i="39" s="1"/>
  <c r="AC64" i="39" s="1"/>
  <c r="AD64" i="39" s="1"/>
  <c r="P166" i="78"/>
  <c r="R166" i="78"/>
  <c r="M67" i="21"/>
  <c r="M30" i="78"/>
  <c r="M206" i="78"/>
  <c r="M197" i="78" s="1"/>
  <c r="M102" i="21"/>
  <c r="M63" i="78"/>
  <c r="M96" i="78"/>
  <c r="M213" i="21"/>
  <c r="M204" i="21" s="1"/>
  <c r="M161" i="78"/>
  <c r="M152" i="78" s="1"/>
  <c r="M168" i="21"/>
  <c r="M159" i="21" s="1"/>
  <c r="M30" i="21"/>
  <c r="W14" i="39"/>
  <c r="V37" i="39"/>
  <c r="J210" i="78"/>
  <c r="J209" i="78" s="1"/>
  <c r="J28" i="21"/>
  <c r="J28" i="78"/>
  <c r="J61" i="78"/>
  <c r="J165" i="78"/>
  <c r="J164" i="78" s="1"/>
  <c r="J65" i="21"/>
  <c r="J100" i="21"/>
  <c r="J217" i="21"/>
  <c r="J216" i="21" s="1"/>
  <c r="J94" i="78"/>
  <c r="J172" i="21"/>
  <c r="J171" i="21" s="1"/>
  <c r="G94" i="78"/>
  <c r="G100" i="21"/>
  <c r="D84" i="30"/>
  <c r="G210" i="78"/>
  <c r="G209" i="78" s="1"/>
  <c r="G28" i="78"/>
  <c r="G65" i="21"/>
  <c r="G61" i="78"/>
  <c r="G28" i="21"/>
  <c r="G217" i="21"/>
  <c r="G216" i="21" s="1"/>
  <c r="G165" i="78"/>
  <c r="G164" i="78" s="1"/>
  <c r="G172" i="21"/>
  <c r="W38" i="33"/>
  <c r="AD26" i="33"/>
  <c r="P21" i="38"/>
  <c r="O44" i="38"/>
  <c r="W20" i="37"/>
  <c r="V43" i="37"/>
  <c r="K58" i="30"/>
  <c r="AD26" i="34"/>
  <c r="X38" i="34"/>
  <c r="AG67" i="26"/>
  <c r="L30" i="25"/>
  <c r="AG42" i="32"/>
  <c r="AH55" i="26"/>
  <c r="T22" i="78"/>
  <c r="U22" i="78" s="1"/>
  <c r="P22" i="78"/>
  <c r="R22" i="78"/>
  <c r="R88" i="78"/>
  <c r="P88" i="78"/>
  <c r="Z88" i="78" s="1"/>
  <c r="T88" i="78"/>
  <c r="I74" i="30"/>
  <c r="P46" i="78"/>
  <c r="H44" i="78"/>
  <c r="P44" i="78" s="1"/>
  <c r="R46" i="78"/>
  <c r="L21" i="74"/>
  <c r="K120" i="30"/>
  <c r="K36" i="74"/>
  <c r="L36" i="74" s="1"/>
  <c r="U52" i="78"/>
  <c r="Q76" i="21"/>
  <c r="H134" i="30"/>
  <c r="I118" i="30"/>
  <c r="I134" i="30" s="1"/>
  <c r="T18" i="78"/>
  <c r="P84" i="78"/>
  <c r="T84" i="78"/>
  <c r="S55" i="78"/>
  <c r="AA56" i="21"/>
  <c r="AE56" i="21"/>
  <c r="C106" i="30"/>
  <c r="C107" i="30" s="1"/>
  <c r="C8" i="72"/>
  <c r="R19" i="65"/>
  <c r="S19" i="65" s="1"/>
  <c r="R154" i="65"/>
  <c r="S154" i="65" s="1"/>
  <c r="T154" i="65" s="1"/>
  <c r="U154" i="65" s="1"/>
  <c r="V154" i="65" s="1"/>
  <c r="W154" i="65" s="1"/>
  <c r="X154" i="65" s="1"/>
  <c r="Y154" i="65" s="1"/>
  <c r="Z154" i="65" s="1"/>
  <c r="AA154" i="65" s="1"/>
  <c r="AB154" i="65" s="1"/>
  <c r="S164" i="65"/>
  <c r="T164" i="65" s="1"/>
  <c r="U164" i="65" s="1"/>
  <c r="V164" i="65" s="1"/>
  <c r="W164" i="65" s="1"/>
  <c r="X164" i="65" s="1"/>
  <c r="Y164" i="65" s="1"/>
  <c r="Z164" i="65" s="1"/>
  <c r="AA164" i="65" s="1"/>
  <c r="AB164" i="65" s="1"/>
  <c r="T29" i="65"/>
  <c r="R35" i="65"/>
  <c r="S35" i="65" s="1"/>
  <c r="R170" i="65"/>
  <c r="S170" i="65" s="1"/>
  <c r="T170" i="65" s="1"/>
  <c r="U170" i="65" s="1"/>
  <c r="V170" i="65" s="1"/>
  <c r="W170" i="65" s="1"/>
  <c r="X170" i="65" s="1"/>
  <c r="Y170" i="65" s="1"/>
  <c r="Z170" i="65" s="1"/>
  <c r="AA170" i="65" s="1"/>
  <c r="AB170" i="65" s="1"/>
  <c r="R68" i="65"/>
  <c r="S68" i="65" s="1"/>
  <c r="R203" i="65"/>
  <c r="S203" i="65" s="1"/>
  <c r="T203" i="65" s="1"/>
  <c r="U203" i="65" s="1"/>
  <c r="V203" i="65" s="1"/>
  <c r="W203" i="65" s="1"/>
  <c r="X203" i="65" s="1"/>
  <c r="Y203" i="65" s="1"/>
  <c r="Z203" i="65" s="1"/>
  <c r="AA203" i="65" s="1"/>
  <c r="AB203" i="65" s="1"/>
  <c r="E357" i="36"/>
  <c r="F66" i="35"/>
  <c r="E351" i="36"/>
  <c r="K68" i="35"/>
  <c r="J374" i="36"/>
  <c r="J377" i="36"/>
  <c r="J378" i="36" s="1"/>
  <c r="J387" i="36" s="1"/>
  <c r="K64" i="35" s="1"/>
  <c r="J373" i="36"/>
  <c r="L82" i="35"/>
  <c r="K410" i="36"/>
  <c r="K404" i="36"/>
  <c r="H457" i="36"/>
  <c r="H463" i="36"/>
  <c r="I98" i="35"/>
  <c r="J368" i="36"/>
  <c r="J369" i="36" s="1"/>
  <c r="J384" i="36" s="1"/>
  <c r="K61" i="35" s="1"/>
  <c r="K66" i="35"/>
  <c r="Q64" i="22"/>
  <c r="Q78" i="22"/>
  <c r="W78" i="22" s="1"/>
  <c r="AE59" i="32"/>
  <c r="AF59" i="32" s="1"/>
  <c r="AG59" i="32" s="1"/>
  <c r="AH59" i="32" s="1"/>
  <c r="AI59" i="32" s="1"/>
  <c r="AJ59" i="32" s="1"/>
  <c r="AK59" i="32" s="1"/>
  <c r="AL59" i="32" s="1"/>
  <c r="AM59" i="32" s="1"/>
  <c r="AN59" i="32" s="1"/>
  <c r="AO59" i="32" s="1"/>
  <c r="AB56" i="32"/>
  <c r="AB58" i="32"/>
  <c r="D351" i="36"/>
  <c r="U49" i="39"/>
  <c r="U73" i="39" s="1"/>
  <c r="U48" i="39"/>
  <c r="U72" i="39" s="1"/>
  <c r="P16" i="38"/>
  <c r="O39" i="38"/>
  <c r="I68" i="30"/>
  <c r="O34" i="40"/>
  <c r="P11" i="40"/>
  <c r="N50" i="38"/>
  <c r="N74" i="38" s="1"/>
  <c r="N49" i="38"/>
  <c r="N73" i="38" s="1"/>
  <c r="M63" i="30"/>
  <c r="M65" i="30"/>
  <c r="J54" i="30"/>
  <c r="F54" i="30"/>
  <c r="E58" i="30"/>
  <c r="AC30" i="34"/>
  <c r="AD30" i="34"/>
  <c r="M28" i="29"/>
  <c r="M23" i="29"/>
  <c r="M30" i="29" s="1"/>
  <c r="J29" i="28"/>
  <c r="J23" i="28"/>
  <c r="J30" i="28" s="1"/>
  <c r="H29" i="39"/>
  <c r="H53" i="39" s="1"/>
  <c r="W10" i="40"/>
  <c r="W33" i="40" s="1"/>
  <c r="V33" i="40"/>
  <c r="W19" i="41"/>
  <c r="W42" i="41" s="1"/>
  <c r="V42" i="41"/>
  <c r="U11" i="21"/>
  <c r="R94" i="21"/>
  <c r="X94" i="21"/>
  <c r="P94" i="21"/>
  <c r="R76" i="78"/>
  <c r="P76" i="78"/>
  <c r="M80" i="30"/>
  <c r="M81" i="30"/>
  <c r="H74" i="30"/>
  <c r="M79" i="30"/>
  <c r="F39" i="71"/>
  <c r="R84" i="21"/>
  <c r="P84" i="21"/>
  <c r="H83" i="21"/>
  <c r="P83" i="21" s="1"/>
  <c r="AA83" i="21" s="1"/>
  <c r="R59" i="21"/>
  <c r="P59" i="21"/>
  <c r="X59" i="21"/>
  <c r="T87" i="78"/>
  <c r="U87" i="78" s="1"/>
  <c r="T55" i="78"/>
  <c r="U55" i="78" s="1"/>
  <c r="AE91" i="21"/>
  <c r="AA91" i="21"/>
  <c r="U91" i="21"/>
  <c r="T90" i="21"/>
  <c r="AA58" i="21"/>
  <c r="AE58" i="21"/>
  <c r="U58" i="21"/>
  <c r="S56" i="21"/>
  <c r="U56" i="21"/>
  <c r="R53" i="65"/>
  <c r="S53" i="65" s="1"/>
  <c r="T53" i="65" s="1"/>
  <c r="U53" i="65" s="1"/>
  <c r="V53" i="65" s="1"/>
  <c r="W53" i="65" s="1"/>
  <c r="X53" i="65" s="1"/>
  <c r="Y53" i="65" s="1"/>
  <c r="Z53" i="65" s="1"/>
  <c r="AA53" i="65" s="1"/>
  <c r="AB53" i="65" s="1"/>
  <c r="R188" i="65"/>
  <c r="S188" i="65" s="1"/>
  <c r="T188" i="65" s="1"/>
  <c r="U188" i="65" s="1"/>
  <c r="V188" i="65" s="1"/>
  <c r="W188" i="65" s="1"/>
  <c r="X188" i="65" s="1"/>
  <c r="Y188" i="65" s="1"/>
  <c r="Z188" i="65" s="1"/>
  <c r="AA188" i="65" s="1"/>
  <c r="AB188" i="65" s="1"/>
  <c r="R172" i="65"/>
  <c r="S172" i="65" s="1"/>
  <c r="T172" i="65" s="1"/>
  <c r="U172" i="65" s="1"/>
  <c r="V172" i="65" s="1"/>
  <c r="W172" i="65" s="1"/>
  <c r="X172" i="65" s="1"/>
  <c r="Y172" i="65" s="1"/>
  <c r="Z172" i="65" s="1"/>
  <c r="AA172" i="65" s="1"/>
  <c r="AB172" i="65" s="1"/>
  <c r="R37" i="65"/>
  <c r="S37" i="65" s="1"/>
  <c r="R202" i="65"/>
  <c r="S202" i="65" s="1"/>
  <c r="T202" i="65" s="1"/>
  <c r="U202" i="65" s="1"/>
  <c r="V202" i="65" s="1"/>
  <c r="W202" i="65" s="1"/>
  <c r="X202" i="65" s="1"/>
  <c r="Y202" i="65" s="1"/>
  <c r="Z202" i="65" s="1"/>
  <c r="AA202" i="65" s="1"/>
  <c r="AB202" i="65" s="1"/>
  <c r="R67" i="65"/>
  <c r="S67" i="65" s="1"/>
  <c r="R192" i="65"/>
  <c r="S192" i="65" s="1"/>
  <c r="T192" i="65" s="1"/>
  <c r="U192" i="65" s="1"/>
  <c r="V192" i="65" s="1"/>
  <c r="W192" i="65" s="1"/>
  <c r="X192" i="65" s="1"/>
  <c r="Y192" i="65" s="1"/>
  <c r="Z192" i="65" s="1"/>
  <c r="AA192" i="65" s="1"/>
  <c r="AB192" i="65" s="1"/>
  <c r="R57" i="65"/>
  <c r="S57" i="65" s="1"/>
  <c r="F463" i="36"/>
  <c r="G98" i="35"/>
  <c r="F457" i="36"/>
  <c r="G410" i="36"/>
  <c r="H82" i="35"/>
  <c r="G404" i="36"/>
  <c r="D410" i="36"/>
  <c r="D404" i="36"/>
  <c r="E82" i="35"/>
  <c r="E479" i="36"/>
  <c r="E492" i="36" s="1"/>
  <c r="F94" i="35" s="1"/>
  <c r="I404" i="36"/>
  <c r="J82" i="35"/>
  <c r="I410" i="36"/>
  <c r="J410" i="36"/>
  <c r="J404" i="36"/>
  <c r="K82" i="35"/>
  <c r="D377" i="36"/>
  <c r="D378" i="36" s="1"/>
  <c r="D387" i="36" s="1"/>
  <c r="J457" i="36"/>
  <c r="AG62" i="32"/>
  <c r="W7" i="39"/>
  <c r="V25" i="39"/>
  <c r="V30" i="39"/>
  <c r="M70" i="30"/>
  <c r="N49" i="40"/>
  <c r="N73" i="40" s="1"/>
  <c r="N48" i="40"/>
  <c r="N72" i="40" s="1"/>
  <c r="F68" i="30"/>
  <c r="P11" i="38"/>
  <c r="O34" i="38"/>
  <c r="W22" i="37"/>
  <c r="V45" i="37"/>
  <c r="V29" i="29"/>
  <c r="V23" i="29"/>
  <c r="V30" i="29" s="1"/>
  <c r="E54" i="30"/>
  <c r="N29" i="29"/>
  <c r="N23" i="29"/>
  <c r="N30" i="29" s="1"/>
  <c r="W15" i="39"/>
  <c r="V38" i="39"/>
  <c r="C58" i="30"/>
  <c r="M61" i="30"/>
  <c r="L28" i="29"/>
  <c r="L23" i="29"/>
  <c r="L30" i="29" s="1"/>
  <c r="Q11" i="21"/>
  <c r="H79" i="21"/>
  <c r="H77" i="21" s="1"/>
  <c r="H44" i="21"/>
  <c r="G44" i="21"/>
  <c r="G8" i="21"/>
  <c r="G79" i="21"/>
  <c r="H8" i="21"/>
  <c r="H7" i="21" s="1"/>
  <c r="S51" i="78"/>
  <c r="H48" i="21"/>
  <c r="P48" i="21" s="1"/>
  <c r="R49" i="21"/>
  <c r="P49" i="21"/>
  <c r="S86" i="78"/>
  <c r="Q93" i="21"/>
  <c r="Y93" i="21"/>
  <c r="Q58" i="21"/>
  <c r="Y58" i="21"/>
  <c r="Y57" i="21"/>
  <c r="R50" i="65"/>
  <c r="S50" i="65" s="1"/>
  <c r="R185" i="65"/>
  <c r="S185" i="65" s="1"/>
  <c r="T185" i="65" s="1"/>
  <c r="U185" i="65" s="1"/>
  <c r="V185" i="65" s="1"/>
  <c r="W185" i="65" s="1"/>
  <c r="X185" i="65" s="1"/>
  <c r="Y185" i="65" s="1"/>
  <c r="Z185" i="65" s="1"/>
  <c r="AA185" i="65" s="1"/>
  <c r="AB185" i="65" s="1"/>
  <c r="H351" i="36"/>
  <c r="I66" i="35"/>
  <c r="H357" i="36"/>
  <c r="G66" i="35"/>
  <c r="F351" i="36"/>
  <c r="F357" i="36"/>
  <c r="J478" i="36"/>
  <c r="K100" i="35"/>
  <c r="J483" i="36"/>
  <c r="J480" i="36"/>
  <c r="J477" i="36"/>
  <c r="J484" i="36"/>
  <c r="J485" i="36" s="1"/>
  <c r="J494" i="36" s="1"/>
  <c r="K96" i="35" s="1"/>
  <c r="J481" i="36"/>
  <c r="J482" i="36" s="1"/>
  <c r="J493" i="36" s="1"/>
  <c r="K95" i="35" s="1"/>
  <c r="J475" i="36"/>
  <c r="J474" i="36"/>
  <c r="D463" i="36"/>
  <c r="E98" i="35"/>
  <c r="D457" i="36"/>
  <c r="O30" i="40"/>
  <c r="P7" i="40"/>
  <c r="O25" i="40"/>
  <c r="V44" i="37"/>
  <c r="W21" i="37"/>
  <c r="M69" i="30"/>
  <c r="C68" i="30"/>
  <c r="V46" i="39"/>
  <c r="W23" i="39"/>
  <c r="O35" i="38"/>
  <c r="P12" i="38"/>
  <c r="O45" i="41"/>
  <c r="P22" i="41"/>
  <c r="K210" i="78"/>
  <c r="K209" i="78" s="1"/>
  <c r="K28" i="78"/>
  <c r="K27" i="78" s="1"/>
  <c r="K100" i="21"/>
  <c r="K28" i="21"/>
  <c r="K61" i="78"/>
  <c r="K60" i="78" s="1"/>
  <c r="K65" i="21"/>
  <c r="K165" i="78"/>
  <c r="K164" i="78" s="1"/>
  <c r="K125" i="78" s="1"/>
  <c r="K217" i="21"/>
  <c r="K216" i="21" s="1"/>
  <c r="K177" i="21" s="1"/>
  <c r="K94" i="78"/>
  <c r="K93" i="78" s="1"/>
  <c r="K172" i="21"/>
  <c r="K171" i="21" s="1"/>
  <c r="K132" i="21" s="1"/>
  <c r="C76" i="37"/>
  <c r="C62" i="25"/>
  <c r="V72" i="27"/>
  <c r="W72" i="27"/>
  <c r="W84" i="27" s="1"/>
  <c r="AD84" i="27" s="1"/>
  <c r="AA49" i="26"/>
  <c r="AC49" i="26" s="1"/>
  <c r="AC37" i="26"/>
  <c r="AC39" i="26" s="1"/>
  <c r="AA39" i="26"/>
  <c r="AA51" i="26" s="1"/>
  <c r="AC51" i="26" s="1"/>
  <c r="V37" i="37"/>
  <c r="W14" i="37"/>
  <c r="L58" i="30"/>
  <c r="AD27" i="27"/>
  <c r="U46" i="40"/>
  <c r="V23" i="40"/>
  <c r="O33" i="38" l="1"/>
  <c r="P10" i="38"/>
  <c r="H42" i="21"/>
  <c r="T37" i="65"/>
  <c r="U37" i="65" s="1"/>
  <c r="V37" i="65" s="1"/>
  <c r="W37" i="65" s="1"/>
  <c r="X37" i="65" s="1"/>
  <c r="Y37" i="65" s="1"/>
  <c r="Z37" i="65" s="1"/>
  <c r="AA37" i="65" s="1"/>
  <c r="AB37" i="65" s="1"/>
  <c r="Y31" i="43"/>
  <c r="V38" i="37"/>
  <c r="R32" i="78"/>
  <c r="S32" i="78" s="1"/>
  <c r="P65" i="78"/>
  <c r="S65" i="78" s="1"/>
  <c r="I183" i="21"/>
  <c r="T56" i="65"/>
  <c r="U56" i="65" s="1"/>
  <c r="V56" i="65" s="1"/>
  <c r="W56" i="65" s="1"/>
  <c r="X56" i="65" s="1"/>
  <c r="Y56" i="65" s="1"/>
  <c r="Z56" i="65" s="1"/>
  <c r="AA56" i="65" s="1"/>
  <c r="AB56" i="65" s="1"/>
  <c r="X20" i="39"/>
  <c r="W43" i="39"/>
  <c r="P15" i="41"/>
  <c r="O38" i="41"/>
  <c r="P35" i="40"/>
  <c r="Q12" i="40"/>
  <c r="L73" i="40"/>
  <c r="M73" i="40"/>
  <c r="O73" i="40" s="1"/>
  <c r="P73" i="40" s="1"/>
  <c r="Q73" i="40" s="1"/>
  <c r="R73" i="40" s="1"/>
  <c r="S73" i="40" s="1"/>
  <c r="T73" i="40" s="1"/>
  <c r="U73" i="40" s="1"/>
  <c r="V73" i="40" s="1"/>
  <c r="W73" i="40" s="1"/>
  <c r="O31" i="38"/>
  <c r="O26" i="38"/>
  <c r="P8" i="38"/>
  <c r="R47" i="41"/>
  <c r="S24" i="41"/>
  <c r="O37" i="41"/>
  <c r="P14" i="41"/>
  <c r="G7" i="25"/>
  <c r="H29" i="41"/>
  <c r="H53" i="41" s="1"/>
  <c r="V70" i="37"/>
  <c r="W70" i="37" s="1"/>
  <c r="X70" i="37" s="1"/>
  <c r="Y70" i="37" s="1"/>
  <c r="Z70" i="37" s="1"/>
  <c r="AA70" i="37" s="1"/>
  <c r="AB70" i="37" s="1"/>
  <c r="AC70" i="37" s="1"/>
  <c r="AD70" i="37" s="1"/>
  <c r="V23" i="37"/>
  <c r="K49" i="78"/>
  <c r="K37" i="78" s="1"/>
  <c r="Y33" i="37"/>
  <c r="Z10" i="37"/>
  <c r="T68" i="65"/>
  <c r="U68" i="65" s="1"/>
  <c r="V68" i="65" s="1"/>
  <c r="W68" i="65" s="1"/>
  <c r="X68" i="65" s="1"/>
  <c r="Y68" i="65" s="1"/>
  <c r="Z68" i="65" s="1"/>
  <c r="AA68" i="65" s="1"/>
  <c r="AB68" i="65" s="1"/>
  <c r="S10" i="78"/>
  <c r="Z39" i="43"/>
  <c r="AA39" i="43" s="1"/>
  <c r="AB39" i="43" s="1"/>
  <c r="AC39" i="43" s="1"/>
  <c r="AD39" i="43" s="1"/>
  <c r="AE39" i="43" s="1"/>
  <c r="AF39" i="43" s="1"/>
  <c r="AG39" i="43" s="1"/>
  <c r="AH39" i="43" s="1"/>
  <c r="AI39" i="43" s="1"/>
  <c r="AJ39" i="43" s="1"/>
  <c r="AK39" i="43" s="1"/>
  <c r="I95" i="78"/>
  <c r="T28" i="65"/>
  <c r="U28" i="65" s="1"/>
  <c r="V28" i="65" s="1"/>
  <c r="W28" i="65" s="1"/>
  <c r="X28" i="65" s="1"/>
  <c r="Y28" i="65" s="1"/>
  <c r="Z28" i="65" s="1"/>
  <c r="AA28" i="65" s="1"/>
  <c r="AB28" i="65" s="1"/>
  <c r="T61" i="65"/>
  <c r="U61" i="65" s="1"/>
  <c r="V61" i="65" s="1"/>
  <c r="W61" i="65" s="1"/>
  <c r="X61" i="65" s="1"/>
  <c r="Y61" i="65" s="1"/>
  <c r="Z61" i="65" s="1"/>
  <c r="AA61" i="65" s="1"/>
  <c r="AB61" i="65" s="1"/>
  <c r="AE22" i="21"/>
  <c r="U22" i="21"/>
  <c r="AA22" i="21"/>
  <c r="V24" i="38"/>
  <c r="U47" i="38"/>
  <c r="O36" i="38"/>
  <c r="P13" i="38"/>
  <c r="Z11" i="65"/>
  <c r="AA11" i="65" s="1"/>
  <c r="AB11" i="65" s="1"/>
  <c r="W19" i="40"/>
  <c r="W42" i="40" s="1"/>
  <c r="V42" i="40"/>
  <c r="P40" i="40"/>
  <c r="Q17" i="40"/>
  <c r="U38" i="40"/>
  <c r="V15" i="40"/>
  <c r="V55" i="37"/>
  <c r="W55" i="37" s="1"/>
  <c r="X55" i="37" s="1"/>
  <c r="Y55" i="37" s="1"/>
  <c r="Z55" i="37" s="1"/>
  <c r="AA55" i="37" s="1"/>
  <c r="AB55" i="37" s="1"/>
  <c r="AC55" i="37" s="1"/>
  <c r="AD55" i="37" s="1"/>
  <c r="V8" i="37"/>
  <c r="O45" i="38"/>
  <c r="P22" i="38"/>
  <c r="H64" i="78"/>
  <c r="P64" i="78" s="1"/>
  <c r="T65" i="78"/>
  <c r="AG61" i="26"/>
  <c r="AG85" i="26"/>
  <c r="AH85" i="26" s="1"/>
  <c r="AI85" i="26" s="1"/>
  <c r="AJ85" i="26" s="1"/>
  <c r="AK85" i="26" s="1"/>
  <c r="AL85" i="26" s="1"/>
  <c r="AM85" i="26" s="1"/>
  <c r="AN85" i="26" s="1"/>
  <c r="AO85" i="26" s="1"/>
  <c r="R173" i="21"/>
  <c r="R13" i="78"/>
  <c r="S13" i="78" s="1"/>
  <c r="P13" i="78"/>
  <c r="O42" i="38"/>
  <c r="P19" i="38"/>
  <c r="V32" i="39"/>
  <c r="W9" i="39"/>
  <c r="Z31" i="43"/>
  <c r="I62" i="78"/>
  <c r="AC22" i="39"/>
  <c r="AB45" i="39"/>
  <c r="W33" i="39"/>
  <c r="X10" i="39"/>
  <c r="P21" i="40"/>
  <c r="O44" i="40"/>
  <c r="T69" i="65"/>
  <c r="U69" i="65" s="1"/>
  <c r="V69" i="65" s="1"/>
  <c r="W69" i="65" s="1"/>
  <c r="X69" i="65" s="1"/>
  <c r="Y69" i="65" s="1"/>
  <c r="Z69" i="65" s="1"/>
  <c r="AA69" i="65" s="1"/>
  <c r="AB69" i="65" s="1"/>
  <c r="T40" i="65"/>
  <c r="U40" i="65" s="1"/>
  <c r="V40" i="65" s="1"/>
  <c r="W40" i="65" s="1"/>
  <c r="X40" i="65" s="1"/>
  <c r="Y40" i="65" s="1"/>
  <c r="Z40" i="65" s="1"/>
  <c r="AA40" i="65" s="1"/>
  <c r="AB40" i="65" s="1"/>
  <c r="S73" i="37"/>
  <c r="T73" i="37"/>
  <c r="V73" i="37" s="1"/>
  <c r="W73" i="37" s="1"/>
  <c r="X73" i="37" s="1"/>
  <c r="Y73" i="37" s="1"/>
  <c r="Z73" i="37" s="1"/>
  <c r="AA73" i="37" s="1"/>
  <c r="AB73" i="37" s="1"/>
  <c r="AC73" i="37" s="1"/>
  <c r="AD73" i="37" s="1"/>
  <c r="T98" i="78"/>
  <c r="U98" i="78" s="1"/>
  <c r="R98" i="78"/>
  <c r="S98" i="78" s="1"/>
  <c r="H97" i="78"/>
  <c r="P97" i="78" s="1"/>
  <c r="J61" i="21"/>
  <c r="L57" i="78"/>
  <c r="J57" i="78"/>
  <c r="H57" i="78"/>
  <c r="H61" i="21"/>
  <c r="K61" i="21"/>
  <c r="M61" i="21"/>
  <c r="N61" i="21"/>
  <c r="M57" i="78"/>
  <c r="N57" i="78"/>
  <c r="L61" i="21"/>
  <c r="O57" i="78"/>
  <c r="K57" i="78"/>
  <c r="O61" i="21"/>
  <c r="I142" i="30"/>
  <c r="I57" i="78"/>
  <c r="I61" i="21"/>
  <c r="T31" i="65"/>
  <c r="U31" i="65" s="1"/>
  <c r="V31" i="65" s="1"/>
  <c r="W31" i="65" s="1"/>
  <c r="X31" i="65" s="1"/>
  <c r="Y31" i="65" s="1"/>
  <c r="Z31" i="65" s="1"/>
  <c r="AA31" i="65" s="1"/>
  <c r="AB31" i="65" s="1"/>
  <c r="T12" i="41"/>
  <c r="S35" i="41"/>
  <c r="T25" i="65"/>
  <c r="U25" i="65" s="1"/>
  <c r="V25" i="65" s="1"/>
  <c r="W25" i="65" s="1"/>
  <c r="X25" i="65" s="1"/>
  <c r="Y25" i="65" s="1"/>
  <c r="Z25" i="65" s="1"/>
  <c r="AA25" i="65" s="1"/>
  <c r="AB25" i="65" s="1"/>
  <c r="P13" i="21"/>
  <c r="R13" i="21"/>
  <c r="H12" i="21"/>
  <c r="P12" i="21" s="1"/>
  <c r="AA20" i="21"/>
  <c r="AE20" i="21"/>
  <c r="U20" i="21"/>
  <c r="T36" i="65"/>
  <c r="U36" i="65" s="1"/>
  <c r="V36" i="65" s="1"/>
  <c r="W36" i="65" s="1"/>
  <c r="X36" i="65" s="1"/>
  <c r="Y36" i="65" s="1"/>
  <c r="Z36" i="65" s="1"/>
  <c r="AA36" i="65" s="1"/>
  <c r="AB36" i="65" s="1"/>
  <c r="T57" i="65"/>
  <c r="U57" i="65" s="1"/>
  <c r="V57" i="65" s="1"/>
  <c r="W57" i="65" s="1"/>
  <c r="X57" i="65" s="1"/>
  <c r="Y57" i="65" s="1"/>
  <c r="Z57" i="65" s="1"/>
  <c r="AA57" i="65" s="1"/>
  <c r="AB57" i="65" s="1"/>
  <c r="T35" i="65"/>
  <c r="U35" i="65" s="1"/>
  <c r="V35" i="65" s="1"/>
  <c r="W35" i="65" s="1"/>
  <c r="X35" i="65" s="1"/>
  <c r="Y35" i="65" s="1"/>
  <c r="Z35" i="65" s="1"/>
  <c r="AA35" i="65" s="1"/>
  <c r="AB35" i="65" s="1"/>
  <c r="J372" i="36"/>
  <c r="J385" i="36" s="1"/>
  <c r="K62" i="35" s="1"/>
  <c r="I131" i="78"/>
  <c r="R45" i="40"/>
  <c r="S22" i="40"/>
  <c r="T7" i="65"/>
  <c r="U7" i="65" s="1"/>
  <c r="V7" i="65" s="1"/>
  <c r="W7" i="65" s="1"/>
  <c r="X7" i="65" s="1"/>
  <c r="Y7" i="65" s="1"/>
  <c r="Z7" i="65" s="1"/>
  <c r="AA7" i="65" s="1"/>
  <c r="AB7" i="65" s="1"/>
  <c r="Z30" i="37"/>
  <c r="Z25" i="37"/>
  <c r="AA7" i="37"/>
  <c r="O38" i="38"/>
  <c r="P15" i="38"/>
  <c r="P41" i="40"/>
  <c r="Q18" i="40"/>
  <c r="U21" i="41"/>
  <c r="T44" i="41"/>
  <c r="T63" i="65"/>
  <c r="U63" i="65" s="1"/>
  <c r="V63" i="65" s="1"/>
  <c r="W63" i="65" s="1"/>
  <c r="X63" i="65" s="1"/>
  <c r="Y63" i="65" s="1"/>
  <c r="Z63" i="65" s="1"/>
  <c r="AA63" i="65" s="1"/>
  <c r="AB63" i="65" s="1"/>
  <c r="R46" i="38"/>
  <c r="S23" i="38"/>
  <c r="P40" i="38"/>
  <c r="Q17" i="38"/>
  <c r="V9" i="38"/>
  <c r="U32" i="38"/>
  <c r="V24" i="39"/>
  <c r="H7" i="25"/>
  <c r="I29" i="41"/>
  <c r="I53" i="41" s="1"/>
  <c r="K58" i="78"/>
  <c r="K50" i="78" s="1"/>
  <c r="M58" i="78"/>
  <c r="M50" i="78" s="1"/>
  <c r="L58" i="78"/>
  <c r="L50" i="78" s="1"/>
  <c r="H62" i="21"/>
  <c r="J58" i="78"/>
  <c r="J50" i="78" s="1"/>
  <c r="K62" i="21"/>
  <c r="H58" i="78"/>
  <c r="O62" i="21"/>
  <c r="N58" i="78"/>
  <c r="N50" i="78" s="1"/>
  <c r="O58" i="78"/>
  <c r="O50" i="78" s="1"/>
  <c r="M62" i="21"/>
  <c r="I62" i="21"/>
  <c r="N62" i="21"/>
  <c r="L62" i="21"/>
  <c r="J62" i="21"/>
  <c r="I58" i="78"/>
  <c r="I50" i="78" s="1"/>
  <c r="S49" i="41"/>
  <c r="S48" i="41"/>
  <c r="P9" i="41"/>
  <c r="O32" i="41"/>
  <c r="P69" i="21"/>
  <c r="O43" i="41"/>
  <c r="P20" i="41"/>
  <c r="R79" i="78"/>
  <c r="S79" i="78" s="1"/>
  <c r="P79" i="78"/>
  <c r="K485" i="36"/>
  <c r="K494" i="36" s="1"/>
  <c r="L96" i="35" s="1"/>
  <c r="K170" i="78"/>
  <c r="G171" i="21"/>
  <c r="I29" i="21"/>
  <c r="I29" i="78"/>
  <c r="S33" i="41"/>
  <c r="T10" i="41"/>
  <c r="Y48" i="37"/>
  <c r="Y49" i="37"/>
  <c r="AA105" i="21"/>
  <c r="AE105" i="21"/>
  <c r="Y105" i="21"/>
  <c r="O60" i="40"/>
  <c r="P60" i="40" s="1"/>
  <c r="Q60" i="40" s="1"/>
  <c r="R60" i="40" s="1"/>
  <c r="S60" i="40" s="1"/>
  <c r="T60" i="40" s="1"/>
  <c r="U60" i="40" s="1"/>
  <c r="V60" i="40" s="1"/>
  <c r="W60" i="40" s="1"/>
  <c r="O13" i="40"/>
  <c r="T5" i="65"/>
  <c r="U5" i="65" s="1"/>
  <c r="V5" i="65" s="1"/>
  <c r="W5" i="65" s="1"/>
  <c r="X5" i="65" s="1"/>
  <c r="Y5" i="65" s="1"/>
  <c r="Z5" i="65" s="1"/>
  <c r="AA5" i="65" s="1"/>
  <c r="AB5" i="65" s="1"/>
  <c r="O18" i="38"/>
  <c r="O65" i="38"/>
  <c r="P65" i="38" s="1"/>
  <c r="Q65" i="38" s="1"/>
  <c r="R65" i="38" s="1"/>
  <c r="S65" i="38" s="1"/>
  <c r="T65" i="38" s="1"/>
  <c r="U65" i="38" s="1"/>
  <c r="V65" i="38" s="1"/>
  <c r="W65" i="38" s="1"/>
  <c r="K138" i="30"/>
  <c r="L138" i="30" s="1"/>
  <c r="K133" i="30"/>
  <c r="L133" i="30" s="1"/>
  <c r="L119" i="30"/>
  <c r="K141" i="30"/>
  <c r="L141" i="30" s="1"/>
  <c r="S73" i="39"/>
  <c r="T73" i="39"/>
  <c r="V73" i="39" s="1"/>
  <c r="W73" i="39" s="1"/>
  <c r="X73" i="39" s="1"/>
  <c r="Y73" i="39" s="1"/>
  <c r="Z73" i="39" s="1"/>
  <c r="AA73" i="39" s="1"/>
  <c r="AB73" i="39" s="1"/>
  <c r="AC73" i="39" s="1"/>
  <c r="AD73" i="39" s="1"/>
  <c r="D7" i="25"/>
  <c r="E29" i="41"/>
  <c r="E53" i="41" s="1"/>
  <c r="U7" i="41"/>
  <c r="T30" i="41"/>
  <c r="T25" i="41"/>
  <c r="W44" i="39"/>
  <c r="X21" i="39"/>
  <c r="P16" i="40"/>
  <c r="O39" i="40"/>
  <c r="P70" i="21"/>
  <c r="AF60" i="27"/>
  <c r="K62" i="25" s="1"/>
  <c r="AE72" i="27"/>
  <c r="AC60" i="27"/>
  <c r="J62" i="25"/>
  <c r="T41" i="65"/>
  <c r="U41" i="65" s="1"/>
  <c r="V41" i="65" s="1"/>
  <c r="W41" i="65" s="1"/>
  <c r="X41" i="65" s="1"/>
  <c r="Y41" i="65" s="1"/>
  <c r="Z41" i="65" s="1"/>
  <c r="AA41" i="65" s="1"/>
  <c r="AB41" i="65" s="1"/>
  <c r="O39" i="41"/>
  <c r="P16" i="41"/>
  <c r="T32" i="78"/>
  <c r="H31" i="78"/>
  <c r="P31" i="78" s="1"/>
  <c r="T67" i="65"/>
  <c r="U67" i="65" s="1"/>
  <c r="V67" i="65" s="1"/>
  <c r="W67" i="65" s="1"/>
  <c r="X67" i="65" s="1"/>
  <c r="Y67" i="65" s="1"/>
  <c r="Z67" i="65" s="1"/>
  <c r="AA67" i="65" s="1"/>
  <c r="AB67" i="65" s="1"/>
  <c r="S76" i="78"/>
  <c r="J83" i="30"/>
  <c r="T45" i="65"/>
  <c r="U45" i="65" s="1"/>
  <c r="V45" i="65" s="1"/>
  <c r="W45" i="65" s="1"/>
  <c r="X45" i="65" s="1"/>
  <c r="Y45" i="65" s="1"/>
  <c r="Z45" i="65" s="1"/>
  <c r="AA45" i="65" s="1"/>
  <c r="AB45" i="65" s="1"/>
  <c r="H72" i="78"/>
  <c r="T65" i="65"/>
  <c r="U65" i="65" s="1"/>
  <c r="V65" i="65" s="1"/>
  <c r="W65" i="65" s="1"/>
  <c r="X65" i="65" s="1"/>
  <c r="Y65" i="65" s="1"/>
  <c r="Z65" i="65" s="1"/>
  <c r="AA65" i="65" s="1"/>
  <c r="AB65" i="65" s="1"/>
  <c r="I138" i="21"/>
  <c r="I176" i="78"/>
  <c r="U43" i="38"/>
  <c r="V20" i="38"/>
  <c r="Z98" i="78"/>
  <c r="T32" i="65"/>
  <c r="U32" i="65" s="1"/>
  <c r="V32" i="65" s="1"/>
  <c r="W32" i="65" s="1"/>
  <c r="X32" i="65" s="1"/>
  <c r="Y32" i="65" s="1"/>
  <c r="Z32" i="65" s="1"/>
  <c r="AA32" i="65" s="1"/>
  <c r="AB32" i="65" s="1"/>
  <c r="S105" i="21"/>
  <c r="T105" i="21" s="1"/>
  <c r="U105" i="21"/>
  <c r="T13" i="65"/>
  <c r="U13" i="65" s="1"/>
  <c r="V13" i="65" s="1"/>
  <c r="W13" i="65" s="1"/>
  <c r="X13" i="65" s="1"/>
  <c r="Y13" i="65" s="1"/>
  <c r="Z13" i="65" s="1"/>
  <c r="AA13" i="65" s="1"/>
  <c r="AB13" i="65" s="1"/>
  <c r="P40" i="41"/>
  <c r="Q17" i="41"/>
  <c r="W34" i="39"/>
  <c r="X11" i="39"/>
  <c r="AG70" i="26"/>
  <c r="AH58" i="26"/>
  <c r="AG45" i="32"/>
  <c r="L33" i="25"/>
  <c r="L74" i="38"/>
  <c r="M74" i="38"/>
  <c r="O74" i="38" s="1"/>
  <c r="P74" i="38" s="1"/>
  <c r="Q74" i="38" s="1"/>
  <c r="R74" i="38" s="1"/>
  <c r="S74" i="38" s="1"/>
  <c r="T74" i="38" s="1"/>
  <c r="U74" i="38" s="1"/>
  <c r="V74" i="38" s="1"/>
  <c r="W74" i="38" s="1"/>
  <c r="F7" i="25"/>
  <c r="G29" i="41"/>
  <c r="G53" i="41" s="1"/>
  <c r="AA93" i="21"/>
  <c r="U93" i="21"/>
  <c r="R70" i="21"/>
  <c r="AC55" i="27"/>
  <c r="AE67" i="27"/>
  <c r="J57" i="25"/>
  <c r="AF55" i="27"/>
  <c r="K57" i="25" s="1"/>
  <c r="Z31" i="39"/>
  <c r="AA8" i="39"/>
  <c r="F29" i="41"/>
  <c r="E7" i="25"/>
  <c r="X18" i="39"/>
  <c r="W41" i="39"/>
  <c r="Y22" i="21"/>
  <c r="AA19" i="37"/>
  <c r="Z42" i="37"/>
  <c r="P23" i="41"/>
  <c r="O46" i="41"/>
  <c r="C22" i="25"/>
  <c r="C8" i="25"/>
  <c r="C18" i="25"/>
  <c r="Q24" i="40"/>
  <c r="P47" i="40"/>
  <c r="E64" i="35"/>
  <c r="AA48" i="21"/>
  <c r="E39" i="71"/>
  <c r="P34" i="38"/>
  <c r="Q11" i="38"/>
  <c r="K64" i="21"/>
  <c r="O49" i="40"/>
  <c r="O48" i="40"/>
  <c r="J479" i="36"/>
  <c r="J492" i="36" s="1"/>
  <c r="K94" i="35" s="1"/>
  <c r="K68" i="21"/>
  <c r="K103" i="21"/>
  <c r="K31" i="21"/>
  <c r="U94" i="21"/>
  <c r="P39" i="38"/>
  <c r="Q16" i="38"/>
  <c r="K430" i="36"/>
  <c r="K427" i="36"/>
  <c r="L84" i="35"/>
  <c r="K431" i="36"/>
  <c r="K424" i="36"/>
  <c r="K425" i="36"/>
  <c r="K426" i="36" s="1"/>
  <c r="K439" i="36" s="1"/>
  <c r="L78" i="35" s="1"/>
  <c r="K421" i="36"/>
  <c r="K428" i="36"/>
  <c r="K429" i="36" s="1"/>
  <c r="K440" i="36" s="1"/>
  <c r="L79" i="35" s="1"/>
  <c r="K422" i="36"/>
  <c r="F68" i="35"/>
  <c r="E368" i="36"/>
  <c r="E373" i="36"/>
  <c r="E376" i="36"/>
  <c r="E377" i="36"/>
  <c r="E371" i="36"/>
  <c r="E370" i="36"/>
  <c r="E367" i="36"/>
  <c r="E369" i="36" s="1"/>
  <c r="E384" i="36" s="1"/>
  <c r="F61" i="35" s="1"/>
  <c r="E374" i="36"/>
  <c r="T19" i="65"/>
  <c r="U19" i="65" s="1"/>
  <c r="V19" i="65" s="1"/>
  <c r="W19" i="65" s="1"/>
  <c r="X19" i="65" s="1"/>
  <c r="Y19" i="65" s="1"/>
  <c r="Z19" i="65" s="1"/>
  <c r="AA19" i="65" s="1"/>
  <c r="AB19" i="65" s="1"/>
  <c r="Z84" i="78"/>
  <c r="S84" i="78"/>
  <c r="U46" i="78"/>
  <c r="Z46" i="78"/>
  <c r="S88" i="78"/>
  <c r="AD38" i="34"/>
  <c r="AC38" i="34"/>
  <c r="J99" i="35"/>
  <c r="O94" i="78"/>
  <c r="O28" i="78"/>
  <c r="O210" i="78"/>
  <c r="O209" i="78" s="1"/>
  <c r="O170" i="78" s="1"/>
  <c r="O28" i="21"/>
  <c r="O100" i="21"/>
  <c r="O65" i="21"/>
  <c r="O61" i="78"/>
  <c r="O165" i="78"/>
  <c r="O164" i="78" s="1"/>
  <c r="O217" i="21"/>
  <c r="O216" i="21" s="1"/>
  <c r="O172" i="21"/>
  <c r="O171" i="21" s="1"/>
  <c r="L99" i="35"/>
  <c r="H39" i="78"/>
  <c r="V45" i="32"/>
  <c r="W70" i="26"/>
  <c r="C33" i="25"/>
  <c r="R29" i="37"/>
  <c r="R53" i="37" s="1"/>
  <c r="K6" i="41"/>
  <c r="J3" i="25"/>
  <c r="E61" i="35"/>
  <c r="AI19" i="21"/>
  <c r="E289" i="36"/>
  <c r="J167" i="36"/>
  <c r="I228" i="36"/>
  <c r="F228" i="36"/>
  <c r="F167" i="36"/>
  <c r="C168" i="25"/>
  <c r="E167" i="36"/>
  <c r="I167" i="36"/>
  <c r="G289" i="36"/>
  <c r="G167" i="36"/>
  <c r="D228" i="36"/>
  <c r="K289" i="36"/>
  <c r="H167" i="36"/>
  <c r="J228" i="36"/>
  <c r="D167" i="36"/>
  <c r="F289" i="36"/>
  <c r="E228" i="36"/>
  <c r="D289" i="36"/>
  <c r="K228" i="36"/>
  <c r="G228" i="36"/>
  <c r="J289" i="36"/>
  <c r="K167" i="36"/>
  <c r="I289" i="36"/>
  <c r="H228" i="36"/>
  <c r="H289" i="36"/>
  <c r="O206" i="78"/>
  <c r="O197" i="78" s="1"/>
  <c r="O63" i="78"/>
  <c r="L83" i="30"/>
  <c r="O96" i="78"/>
  <c r="O161" i="78"/>
  <c r="O152" i="78" s="1"/>
  <c r="O102" i="21"/>
  <c r="O30" i="78"/>
  <c r="O213" i="21"/>
  <c r="O204" i="21" s="1"/>
  <c r="L85" i="30"/>
  <c r="O168" i="21"/>
  <c r="O159" i="21" s="1"/>
  <c r="O30" i="21"/>
  <c r="O67" i="21"/>
  <c r="AA32" i="21"/>
  <c r="E43" i="71"/>
  <c r="D43" i="71"/>
  <c r="H10" i="22"/>
  <c r="H33" i="22" s="1"/>
  <c r="T58" i="65"/>
  <c r="U58" i="65" s="1"/>
  <c r="V58" i="65" s="1"/>
  <c r="W58" i="65" s="1"/>
  <c r="X58" i="65" s="1"/>
  <c r="Y58" i="65" s="1"/>
  <c r="Z58" i="65" s="1"/>
  <c r="AA58" i="65" s="1"/>
  <c r="AB58" i="65" s="1"/>
  <c r="AA55" i="21"/>
  <c r="U55" i="21"/>
  <c r="AE55" i="21"/>
  <c r="O103" i="21"/>
  <c r="O68" i="21"/>
  <c r="O31" i="21"/>
  <c r="P31" i="21" s="1"/>
  <c r="F478" i="36"/>
  <c r="F479" i="36" s="1"/>
  <c r="F492" i="36" s="1"/>
  <c r="G94" i="35" s="1"/>
  <c r="G100" i="35"/>
  <c r="F484" i="36"/>
  <c r="F474" i="36"/>
  <c r="F475" i="36"/>
  <c r="F481" i="36"/>
  <c r="F482" i="36" s="1"/>
  <c r="F493" i="36" s="1"/>
  <c r="G95" i="35" s="1"/>
  <c r="F477" i="36"/>
  <c r="F483" i="36"/>
  <c r="F480" i="36"/>
  <c r="P35" i="38"/>
  <c r="Q12" i="38"/>
  <c r="F83" i="30"/>
  <c r="I67" i="21"/>
  <c r="I96" i="78"/>
  <c r="I161" i="78"/>
  <c r="I63" i="78"/>
  <c r="I102" i="21"/>
  <c r="I30" i="78"/>
  <c r="I206" i="78"/>
  <c r="F85" i="30"/>
  <c r="I213" i="21"/>
  <c r="I168" i="21"/>
  <c r="I30" i="21"/>
  <c r="J83" i="35"/>
  <c r="AC72" i="27"/>
  <c r="AD72" i="27"/>
  <c r="V84" i="27"/>
  <c r="P30" i="40"/>
  <c r="P25" i="40"/>
  <c r="Q7" i="40"/>
  <c r="J476" i="36"/>
  <c r="J491" i="36" s="1"/>
  <c r="K93" i="35" s="1"/>
  <c r="T50" i="65"/>
  <c r="U50" i="65" s="1"/>
  <c r="V50" i="65" s="1"/>
  <c r="W50" i="65" s="1"/>
  <c r="X50" i="65" s="1"/>
  <c r="Y50" i="65" s="1"/>
  <c r="Z50" i="65" s="1"/>
  <c r="AA50" i="65" s="1"/>
  <c r="AB50" i="65" s="1"/>
  <c r="H94" i="78"/>
  <c r="H61" i="78"/>
  <c r="H210" i="78"/>
  <c r="H209" i="78" s="1"/>
  <c r="E84" i="30"/>
  <c r="H65" i="21"/>
  <c r="H172" i="21"/>
  <c r="H171" i="21" s="1"/>
  <c r="H28" i="78"/>
  <c r="H165" i="78"/>
  <c r="H164" i="78" s="1"/>
  <c r="H100" i="21"/>
  <c r="H217" i="21"/>
  <c r="H216" i="21" s="1"/>
  <c r="E85" i="30"/>
  <c r="H28" i="21"/>
  <c r="K99" i="35"/>
  <c r="AE84" i="21"/>
  <c r="AA84" i="21"/>
  <c r="Y84" i="21"/>
  <c r="X14" i="39"/>
  <c r="W37" i="39"/>
  <c r="V40" i="39"/>
  <c r="W17" i="39"/>
  <c r="T59" i="65"/>
  <c r="U59" i="65" s="1"/>
  <c r="V59" i="65" s="1"/>
  <c r="W59" i="65" s="1"/>
  <c r="X59" i="65" s="1"/>
  <c r="Y59" i="65" s="1"/>
  <c r="Z59" i="65" s="1"/>
  <c r="AA59" i="65" s="1"/>
  <c r="AB59" i="65" s="1"/>
  <c r="M176" i="78"/>
  <c r="M171" i="78" s="1"/>
  <c r="M138" i="21"/>
  <c r="M133" i="21" s="1"/>
  <c r="M131" i="78"/>
  <c r="M126" i="78" s="1"/>
  <c r="M29" i="21"/>
  <c r="M62" i="78"/>
  <c r="M183" i="21"/>
  <c r="M178" i="21" s="1"/>
  <c r="M66" i="21"/>
  <c r="M95" i="78"/>
  <c r="M29" i="78"/>
  <c r="M101" i="21"/>
  <c r="M53" i="39"/>
  <c r="S29" i="39"/>
  <c r="T29" i="39"/>
  <c r="T42" i="65"/>
  <c r="U42" i="65" s="1"/>
  <c r="V42" i="65" s="1"/>
  <c r="W42" i="65" s="1"/>
  <c r="X42" i="65" s="1"/>
  <c r="Y42" i="65" s="1"/>
  <c r="Z42" i="65" s="1"/>
  <c r="AA42" i="65" s="1"/>
  <c r="AB42" i="65" s="1"/>
  <c r="P81" i="21"/>
  <c r="R81" i="21"/>
  <c r="G6" i="78"/>
  <c r="R8" i="78"/>
  <c r="P8" i="78"/>
  <c r="Z10" i="78"/>
  <c r="U10" i="78"/>
  <c r="C57" i="25"/>
  <c r="W67" i="27"/>
  <c r="V67" i="27"/>
  <c r="X15" i="37"/>
  <c r="W38" i="37"/>
  <c r="H67" i="21"/>
  <c r="H206" i="78"/>
  <c r="E83" i="30"/>
  <c r="H63" i="78"/>
  <c r="H102" i="21"/>
  <c r="H96" i="78"/>
  <c r="H161" i="78"/>
  <c r="H152" i="78" s="1"/>
  <c r="H213" i="21"/>
  <c r="H168" i="21"/>
  <c r="H159" i="21" s="1"/>
  <c r="H30" i="78"/>
  <c r="H30" i="21"/>
  <c r="G478" i="36"/>
  <c r="G474" i="36"/>
  <c r="H100" i="35"/>
  <c r="G484" i="36"/>
  <c r="G475" i="36"/>
  <c r="G481" i="36"/>
  <c r="G480" i="36"/>
  <c r="G477" i="36"/>
  <c r="G483" i="36"/>
  <c r="Y19" i="21"/>
  <c r="G66" i="21"/>
  <c r="G95" i="78"/>
  <c r="G101" i="21"/>
  <c r="G99" i="21" s="1"/>
  <c r="G176" i="78"/>
  <c r="G29" i="78"/>
  <c r="G62" i="78"/>
  <c r="G131" i="78"/>
  <c r="G183" i="21"/>
  <c r="G29" i="21"/>
  <c r="G138" i="21"/>
  <c r="L94" i="78"/>
  <c r="L210" i="78"/>
  <c r="L209" i="78" s="1"/>
  <c r="L28" i="21"/>
  <c r="L100" i="21"/>
  <c r="L28" i="78"/>
  <c r="L65" i="21"/>
  <c r="L217" i="21"/>
  <c r="L216" i="21" s="1"/>
  <c r="L61" i="78"/>
  <c r="L165" i="78"/>
  <c r="L164" i="78" s="1"/>
  <c r="L172" i="21"/>
  <c r="L171" i="21" s="1"/>
  <c r="S33" i="21"/>
  <c r="T33" i="21" s="1"/>
  <c r="U33" i="21"/>
  <c r="AI55" i="21"/>
  <c r="H11" i="78"/>
  <c r="P11" i="78" s="1"/>
  <c r="P12" i="78"/>
  <c r="R12" i="78"/>
  <c r="AA30" i="43"/>
  <c r="J116" i="25"/>
  <c r="AB22" i="43"/>
  <c r="AA23" i="43"/>
  <c r="I126" i="78"/>
  <c r="F371" i="36"/>
  <c r="F376" i="36"/>
  <c r="F378" i="36" s="1"/>
  <c r="F387" i="36" s="1"/>
  <c r="G64" i="35" s="1"/>
  <c r="F373" i="36"/>
  <c r="F377" i="36"/>
  <c r="F367" i="36"/>
  <c r="F369" i="36" s="1"/>
  <c r="F384" i="36" s="1"/>
  <c r="G61" i="35" s="1"/>
  <c r="G68" i="35"/>
  <c r="F374" i="36"/>
  <c r="F368" i="36"/>
  <c r="F370" i="36"/>
  <c r="H83" i="35"/>
  <c r="S84" i="21"/>
  <c r="T84" i="21" s="1"/>
  <c r="U84" i="21"/>
  <c r="J375" i="36"/>
  <c r="J386" i="36" s="1"/>
  <c r="K63" i="35" s="1"/>
  <c r="C110" i="30"/>
  <c r="C113" i="30" s="1"/>
  <c r="D110" i="30"/>
  <c r="D113" i="30" s="1"/>
  <c r="U18" i="78"/>
  <c r="S22" i="78"/>
  <c r="N131" i="78"/>
  <c r="N126" i="78" s="1"/>
  <c r="N138" i="21"/>
  <c r="N133" i="21" s="1"/>
  <c r="N176" i="78"/>
  <c r="N171" i="78" s="1"/>
  <c r="N29" i="78"/>
  <c r="N101" i="21"/>
  <c r="N66" i="21"/>
  <c r="N29" i="21"/>
  <c r="N183" i="21"/>
  <c r="N178" i="21" s="1"/>
  <c r="N62" i="78"/>
  <c r="N95" i="78"/>
  <c r="I474" i="36"/>
  <c r="I478" i="36"/>
  <c r="I479" i="36" s="1"/>
  <c r="I492" i="36" s="1"/>
  <c r="J94" i="35" s="1"/>
  <c r="I477" i="36"/>
  <c r="I481" i="36"/>
  <c r="I482" i="36" s="1"/>
  <c r="I493" i="36" s="1"/>
  <c r="J95" i="35" s="1"/>
  <c r="J100" i="35"/>
  <c r="I475" i="36"/>
  <c r="I476" i="36" s="1"/>
  <c r="I491" i="36" s="1"/>
  <c r="J93" i="35" s="1"/>
  <c r="I483" i="36"/>
  <c r="I484" i="36"/>
  <c r="I485" i="36" s="1"/>
  <c r="I494" i="36" s="1"/>
  <c r="J96" i="35" s="1"/>
  <c r="I480" i="36"/>
  <c r="E17" i="25"/>
  <c r="E21" i="25"/>
  <c r="E9" i="25"/>
  <c r="AB29" i="43"/>
  <c r="AC21" i="43"/>
  <c r="K115" i="25"/>
  <c r="R70" i="65"/>
  <c r="P10" i="21"/>
  <c r="R10" i="21"/>
  <c r="R45" i="21"/>
  <c r="P45" i="21"/>
  <c r="J138" i="21"/>
  <c r="J133" i="21" s="1"/>
  <c r="J29" i="78"/>
  <c r="J27" i="78" s="1"/>
  <c r="J66" i="21"/>
  <c r="J131" i="78"/>
  <c r="J126" i="78" s="1"/>
  <c r="J29" i="21"/>
  <c r="X29" i="21" s="1"/>
  <c r="J176" i="78"/>
  <c r="J171" i="78" s="1"/>
  <c r="J101" i="21"/>
  <c r="J99" i="21" s="1"/>
  <c r="J183" i="21"/>
  <c r="J178" i="21" s="1"/>
  <c r="J62" i="78"/>
  <c r="J95" i="78"/>
  <c r="M112" i="25"/>
  <c r="AD27" i="43"/>
  <c r="AE19" i="43"/>
  <c r="H99" i="35"/>
  <c r="W32" i="37"/>
  <c r="X9" i="37"/>
  <c r="J30" i="78"/>
  <c r="J206" i="78"/>
  <c r="J197" i="78" s="1"/>
  <c r="J102" i="21"/>
  <c r="J63" i="78"/>
  <c r="J96" i="78"/>
  <c r="J30" i="21"/>
  <c r="J213" i="21"/>
  <c r="J204" i="21" s="1"/>
  <c r="J67" i="21"/>
  <c r="J64" i="21" s="1"/>
  <c r="J161" i="78"/>
  <c r="J152" i="78" s="1"/>
  <c r="G85" i="30"/>
  <c r="G83" i="30"/>
  <c r="J168" i="21"/>
  <c r="J159" i="21" s="1"/>
  <c r="Q34" i="41"/>
  <c r="R11" i="41"/>
  <c r="Z18" i="78"/>
  <c r="AE33" i="21"/>
  <c r="AA33" i="21"/>
  <c r="Y33" i="21"/>
  <c r="Q55" i="21"/>
  <c r="Y55" i="21"/>
  <c r="P78" i="78"/>
  <c r="H77" i="78"/>
  <c r="P77" i="78" s="1"/>
  <c r="R78" i="78"/>
  <c r="M74" i="30"/>
  <c r="Z55" i="78"/>
  <c r="V46" i="40"/>
  <c r="W23" i="40"/>
  <c r="W46" i="40" s="1"/>
  <c r="X14" i="37"/>
  <c r="W37" i="37"/>
  <c r="U6" i="37"/>
  <c r="V6" i="37" s="1"/>
  <c r="K99" i="21"/>
  <c r="P79" i="21"/>
  <c r="R79" i="21"/>
  <c r="G77" i="21"/>
  <c r="E83" i="35"/>
  <c r="T56" i="21"/>
  <c r="Z76" i="78"/>
  <c r="U76" i="78"/>
  <c r="H66" i="21"/>
  <c r="H176" i="78"/>
  <c r="H171" i="78" s="1"/>
  <c r="H101" i="21"/>
  <c r="H29" i="78"/>
  <c r="H131" i="78"/>
  <c r="H126" i="78" s="1"/>
  <c r="H95" i="78"/>
  <c r="H29" i="21"/>
  <c r="H62" i="78"/>
  <c r="H138" i="21"/>
  <c r="H133" i="21" s="1"/>
  <c r="H183" i="21"/>
  <c r="H178" i="21" s="1"/>
  <c r="E67" i="35" a="1"/>
  <c r="H52" i="21"/>
  <c r="H48" i="78"/>
  <c r="L68" i="21"/>
  <c r="P68" i="21" s="1"/>
  <c r="L103" i="21"/>
  <c r="W103" i="21" s="1"/>
  <c r="AI103" i="21" s="1"/>
  <c r="AJ103" i="21" s="1"/>
  <c r="L31" i="21"/>
  <c r="Z22" i="78"/>
  <c r="AC61" i="32"/>
  <c r="AC62" i="32" s="1"/>
  <c r="AD61" i="32"/>
  <c r="AD62" i="32" s="1"/>
  <c r="K476" i="36"/>
  <c r="K491" i="36" s="1"/>
  <c r="L93" i="35" s="1"/>
  <c r="F83" i="35"/>
  <c r="T55" i="65"/>
  <c r="U55" i="65" s="1"/>
  <c r="V55" i="65" s="1"/>
  <c r="W55" i="65" s="1"/>
  <c r="X55" i="65" s="1"/>
  <c r="Y55" i="65" s="1"/>
  <c r="Z55" i="65" s="1"/>
  <c r="AA55" i="65" s="1"/>
  <c r="AB55" i="65" s="1"/>
  <c r="U36" i="41"/>
  <c r="V13" i="41"/>
  <c r="J118" i="25"/>
  <c r="T8" i="65"/>
  <c r="S70" i="65"/>
  <c r="AA90" i="21"/>
  <c r="AE90" i="21"/>
  <c r="U90" i="21"/>
  <c r="P46" i="21"/>
  <c r="R46" i="21"/>
  <c r="R9" i="21"/>
  <c r="P9" i="21"/>
  <c r="W36" i="37"/>
  <c r="X13" i="37"/>
  <c r="D375" i="36"/>
  <c r="D386" i="36" s="1"/>
  <c r="T66" i="65"/>
  <c r="U66" i="65" s="1"/>
  <c r="V66" i="65" s="1"/>
  <c r="W66" i="65" s="1"/>
  <c r="X66" i="65" s="1"/>
  <c r="Y66" i="65" s="1"/>
  <c r="Z66" i="65" s="1"/>
  <c r="AA66" i="65" s="1"/>
  <c r="AB66" i="65" s="1"/>
  <c r="I133" i="21"/>
  <c r="I171" i="78"/>
  <c r="T176" i="78"/>
  <c r="Z54" i="78"/>
  <c r="W46" i="39"/>
  <c r="X23" i="39"/>
  <c r="F95" i="78"/>
  <c r="F62" i="78"/>
  <c r="F131" i="78"/>
  <c r="M58" i="30"/>
  <c r="F29" i="78"/>
  <c r="F66" i="21"/>
  <c r="F183" i="21"/>
  <c r="F176" i="78"/>
  <c r="F101" i="21"/>
  <c r="F29" i="21"/>
  <c r="F138" i="21"/>
  <c r="K83" i="35"/>
  <c r="D427" i="36"/>
  <c r="D424" i="36"/>
  <c r="E84" i="35"/>
  <c r="D431" i="36"/>
  <c r="D432" i="36" s="1"/>
  <c r="D441" i="36" s="1"/>
  <c r="D428" i="36"/>
  <c r="D425" i="36"/>
  <c r="D421" i="36"/>
  <c r="D430" i="36"/>
  <c r="D422" i="36"/>
  <c r="H84" i="35"/>
  <c r="G431" i="36"/>
  <c r="G432" i="36" s="1"/>
  <c r="G441" i="36" s="1"/>
  <c r="H80" i="35" s="1"/>
  <c r="G428" i="36"/>
  <c r="G430" i="36"/>
  <c r="G427" i="36"/>
  <c r="G421" i="36"/>
  <c r="G422" i="36"/>
  <c r="G425" i="36"/>
  <c r="G424" i="36"/>
  <c r="Y59" i="21"/>
  <c r="Q59" i="21"/>
  <c r="I28" i="78"/>
  <c r="I27" i="78" s="1"/>
  <c r="I61" i="78"/>
  <c r="I94" i="78"/>
  <c r="I100" i="21"/>
  <c r="I210" i="78"/>
  <c r="I165" i="78"/>
  <c r="I28" i="21"/>
  <c r="I65" i="21"/>
  <c r="I172" i="21"/>
  <c r="I217" i="21"/>
  <c r="P34" i="40"/>
  <c r="Q11" i="40"/>
  <c r="K139" i="30"/>
  <c r="L139" i="30" s="1"/>
  <c r="L140" i="30" s="1"/>
  <c r="L120" i="30"/>
  <c r="L134" i="30" s="1"/>
  <c r="K134" i="30"/>
  <c r="X20" i="37"/>
  <c r="W43" i="37"/>
  <c r="J60" i="78"/>
  <c r="J49" i="78" s="1"/>
  <c r="J37" i="78" s="1"/>
  <c r="AC56" i="32"/>
  <c r="AE56" i="32" s="1"/>
  <c r="AF56" i="32" s="1"/>
  <c r="AG56" i="32" s="1"/>
  <c r="AH56" i="32" s="1"/>
  <c r="AI56" i="32" s="1"/>
  <c r="AJ56" i="32" s="1"/>
  <c r="AK56" i="32" s="1"/>
  <c r="AL56" i="32" s="1"/>
  <c r="AM56" i="32" s="1"/>
  <c r="AN56" i="32" s="1"/>
  <c r="AO56" i="32" s="1"/>
  <c r="AD56" i="32"/>
  <c r="E431" i="36"/>
  <c r="E422" i="36"/>
  <c r="F84" i="35"/>
  <c r="E428" i="36"/>
  <c r="E424" i="36"/>
  <c r="E427" i="36"/>
  <c r="E425" i="36"/>
  <c r="E426" i="36" s="1"/>
  <c r="E439" i="36" s="1"/>
  <c r="F78" i="35" s="1"/>
  <c r="E421" i="36"/>
  <c r="E430" i="36"/>
  <c r="X86" i="27"/>
  <c r="AD86" i="27" s="1"/>
  <c r="AG62" i="27" s="1"/>
  <c r="AD74" i="27"/>
  <c r="AC74" i="27"/>
  <c r="W13" i="39"/>
  <c r="V36" i="39"/>
  <c r="AI90" i="21"/>
  <c r="P42" i="78"/>
  <c r="R42" i="78"/>
  <c r="N28" i="78"/>
  <c r="N27" i="78" s="1"/>
  <c r="N100" i="21"/>
  <c r="N99" i="21" s="1"/>
  <c r="N61" i="78"/>
  <c r="N60" i="78" s="1"/>
  <c r="N49" i="78" s="1"/>
  <c r="N37" i="78" s="1"/>
  <c r="N65" i="21"/>
  <c r="N64" i="21" s="1"/>
  <c r="N165" i="78"/>
  <c r="N164" i="78" s="1"/>
  <c r="N125" i="78" s="1"/>
  <c r="N94" i="78"/>
  <c r="N28" i="21"/>
  <c r="N27" i="21" s="1"/>
  <c r="N217" i="21"/>
  <c r="N216" i="21" s="1"/>
  <c r="N210" i="78"/>
  <c r="N209" i="78" s="1"/>
  <c r="N170" i="78" s="1"/>
  <c r="N172" i="21"/>
  <c r="N171" i="21" s="1"/>
  <c r="P32" i="40"/>
  <c r="Q9" i="40"/>
  <c r="W34" i="37"/>
  <c r="X11" i="37"/>
  <c r="I83" i="35"/>
  <c r="P103" i="21"/>
  <c r="AE24" i="21"/>
  <c r="AA24" i="21"/>
  <c r="O62" i="78"/>
  <c r="O95" i="78"/>
  <c r="O66" i="21"/>
  <c r="O183" i="21"/>
  <c r="O178" i="21" s="1"/>
  <c r="O176" i="78"/>
  <c r="O171" i="78" s="1"/>
  <c r="O29" i="21"/>
  <c r="O138" i="21"/>
  <c r="O133" i="21" s="1"/>
  <c r="O29" i="78"/>
  <c r="O131" i="78"/>
  <c r="O126" i="78" s="1"/>
  <c r="O101" i="21"/>
  <c r="F161" i="78"/>
  <c r="F30" i="21"/>
  <c r="F206" i="78"/>
  <c r="F168" i="21"/>
  <c r="F63" i="78"/>
  <c r="F102" i="21"/>
  <c r="F96" i="78"/>
  <c r="F67" i="21"/>
  <c r="F213" i="21"/>
  <c r="C83" i="30"/>
  <c r="F30" i="78"/>
  <c r="M68" i="30"/>
  <c r="P8" i="21"/>
  <c r="R8" i="21"/>
  <c r="G7" i="21"/>
  <c r="E99" i="35"/>
  <c r="I68" i="35"/>
  <c r="H374" i="36"/>
  <c r="H377" i="36"/>
  <c r="H376" i="36"/>
  <c r="H378" i="36" s="1"/>
  <c r="H387" i="36" s="1"/>
  <c r="I64" i="35" s="1"/>
  <c r="H373" i="36"/>
  <c r="H368" i="36"/>
  <c r="H371" i="36"/>
  <c r="H367" i="36"/>
  <c r="H370" i="36"/>
  <c r="AA49" i="21"/>
  <c r="AE49" i="21"/>
  <c r="Y49" i="21"/>
  <c r="R44" i="21"/>
  <c r="P44" i="21"/>
  <c r="G42" i="21"/>
  <c r="W45" i="37"/>
  <c r="X22" i="37"/>
  <c r="V49" i="39"/>
  <c r="V48" i="39"/>
  <c r="K84" i="35"/>
  <c r="J428" i="36"/>
  <c r="J422" i="36"/>
  <c r="J431" i="36"/>
  <c r="J430" i="36"/>
  <c r="J421" i="36"/>
  <c r="J427" i="36"/>
  <c r="J425" i="36"/>
  <c r="J424" i="36"/>
  <c r="G99" i="35"/>
  <c r="AA59" i="21"/>
  <c r="AE59" i="21"/>
  <c r="M165" i="78"/>
  <c r="M164" i="78" s="1"/>
  <c r="M125" i="78" s="1"/>
  <c r="M100" i="21"/>
  <c r="M65" i="21"/>
  <c r="M64" i="21" s="1"/>
  <c r="M94" i="78"/>
  <c r="M93" i="78" s="1"/>
  <c r="M210" i="78"/>
  <c r="M209" i="78" s="1"/>
  <c r="M170" i="78" s="1"/>
  <c r="M28" i="21"/>
  <c r="M27" i="21" s="1"/>
  <c r="M217" i="21"/>
  <c r="M216" i="21" s="1"/>
  <c r="M28" i="78"/>
  <c r="M27" i="78" s="1"/>
  <c r="M61" i="78"/>
  <c r="M60" i="78" s="1"/>
  <c r="M49" i="78" s="1"/>
  <c r="M37" i="78" s="1"/>
  <c r="M172" i="21"/>
  <c r="M171" i="21" s="1"/>
  <c r="H478" i="36"/>
  <c r="H475" i="36"/>
  <c r="H476" i="36" s="1"/>
  <c r="H491" i="36" s="1"/>
  <c r="I93" i="35" s="1"/>
  <c r="H477" i="36"/>
  <c r="I100" i="35"/>
  <c r="H481" i="36"/>
  <c r="H474" i="36"/>
  <c r="H484" i="36"/>
  <c r="H485" i="36" s="1"/>
  <c r="H494" i="36" s="1"/>
  <c r="I96" i="35" s="1"/>
  <c r="H480" i="36"/>
  <c r="H483" i="36"/>
  <c r="U29" i="65"/>
  <c r="V29" i="65" s="1"/>
  <c r="W29" i="65" s="1"/>
  <c r="X29" i="65" s="1"/>
  <c r="Y29" i="65" s="1"/>
  <c r="Z29" i="65" s="1"/>
  <c r="AA29" i="65" s="1"/>
  <c r="AB29" i="65" s="1"/>
  <c r="L38" i="74"/>
  <c r="AC58" i="32"/>
  <c r="AE58" i="32" s="1"/>
  <c r="AF58" i="32" s="1"/>
  <c r="AG58" i="32" s="1"/>
  <c r="AH58" i="32" s="1"/>
  <c r="AI58" i="32" s="1"/>
  <c r="AJ58" i="32" s="1"/>
  <c r="AK58" i="32" s="1"/>
  <c r="AL58" i="32" s="1"/>
  <c r="AM58" i="32" s="1"/>
  <c r="AN58" i="32" s="1"/>
  <c r="AO58" i="32" s="1"/>
  <c r="AD58" i="32"/>
  <c r="L68" i="35"/>
  <c r="K377" i="36"/>
  <c r="K367" i="36"/>
  <c r="K368" i="36"/>
  <c r="K370" i="36"/>
  <c r="K374" i="36"/>
  <c r="K376" i="36"/>
  <c r="K371" i="36"/>
  <c r="K373" i="36"/>
  <c r="G206" i="78"/>
  <c r="G197" i="78" s="1"/>
  <c r="G170" i="78" s="1"/>
  <c r="G102" i="21"/>
  <c r="D83" i="30"/>
  <c r="G67" i="21"/>
  <c r="G63" i="78"/>
  <c r="G60" i="78" s="1"/>
  <c r="G213" i="21"/>
  <c r="G204" i="21" s="1"/>
  <c r="G177" i="21" s="1"/>
  <c r="G96" i="78"/>
  <c r="G93" i="78" s="1"/>
  <c r="G30" i="21"/>
  <c r="G27" i="21" s="1"/>
  <c r="G168" i="21"/>
  <c r="G159" i="21" s="1"/>
  <c r="G132" i="21" s="1"/>
  <c r="G161" i="78"/>
  <c r="G152" i="78" s="1"/>
  <c r="G125" i="78" s="1"/>
  <c r="G30" i="78"/>
  <c r="T60" i="65"/>
  <c r="U60" i="65" s="1"/>
  <c r="V60" i="65" s="1"/>
  <c r="W60" i="65" s="1"/>
  <c r="X60" i="65" s="1"/>
  <c r="Y60" i="65" s="1"/>
  <c r="Z60" i="65" s="1"/>
  <c r="AA60" i="65" s="1"/>
  <c r="AB60" i="65" s="1"/>
  <c r="Q90" i="21"/>
  <c r="Y90" i="21"/>
  <c r="P9" i="78"/>
  <c r="R9" i="78"/>
  <c r="S9" i="78" s="1"/>
  <c r="R74" i="78"/>
  <c r="G72" i="78"/>
  <c r="P74" i="78"/>
  <c r="Q53" i="37"/>
  <c r="S53" i="37" s="1"/>
  <c r="S29" i="37"/>
  <c r="K83" i="30"/>
  <c r="T47" i="65"/>
  <c r="U47" i="65" s="1"/>
  <c r="V47" i="65" s="1"/>
  <c r="W47" i="65" s="1"/>
  <c r="X47" i="65" s="1"/>
  <c r="Y47" i="65" s="1"/>
  <c r="Z47" i="65" s="1"/>
  <c r="AA47" i="65" s="1"/>
  <c r="AB47" i="65" s="1"/>
  <c r="V98" i="26"/>
  <c r="V62" i="26" s="1"/>
  <c r="W98" i="26"/>
  <c r="X98" i="26"/>
  <c r="X62" i="26" s="1"/>
  <c r="L73" i="41"/>
  <c r="M73" i="41"/>
  <c r="O73" i="41" s="1"/>
  <c r="P73" i="41" s="1"/>
  <c r="Q73" i="41" s="1"/>
  <c r="R73" i="41" s="1"/>
  <c r="S73" i="41" s="1"/>
  <c r="T73" i="41" s="1"/>
  <c r="U73" i="41" s="1"/>
  <c r="V73" i="41" s="1"/>
  <c r="W73" i="41" s="1"/>
  <c r="L138" i="21"/>
  <c r="L133" i="21" s="1"/>
  <c r="L95" i="78"/>
  <c r="L176" i="78"/>
  <c r="L171" i="78" s="1"/>
  <c r="L183" i="21"/>
  <c r="L178" i="21" s="1"/>
  <c r="L29" i="78"/>
  <c r="L131" i="78"/>
  <c r="L126" i="78" s="1"/>
  <c r="L62" i="78"/>
  <c r="L66" i="21"/>
  <c r="X66" i="21" s="1"/>
  <c r="L29" i="21"/>
  <c r="L101" i="21"/>
  <c r="X101" i="21" s="1"/>
  <c r="V73" i="27"/>
  <c r="C63" i="25"/>
  <c r="C84" i="30"/>
  <c r="M84" i="30" s="1"/>
  <c r="F210" i="78"/>
  <c r="F28" i="21"/>
  <c r="F28" i="78"/>
  <c r="F61" i="78"/>
  <c r="F165" i="78"/>
  <c r="F94" i="78"/>
  <c r="F100" i="21"/>
  <c r="F65" i="21"/>
  <c r="F172" i="21"/>
  <c r="F217" i="21"/>
  <c r="M54" i="30"/>
  <c r="U65" i="78"/>
  <c r="Z65" i="78"/>
  <c r="H425" i="36"/>
  <c r="H430" i="36"/>
  <c r="H431" i="36"/>
  <c r="H422" i="36"/>
  <c r="I84" i="35"/>
  <c r="H428" i="36"/>
  <c r="H421" i="36"/>
  <c r="H427" i="36"/>
  <c r="H424" i="36"/>
  <c r="Z51" i="78"/>
  <c r="S24" i="21"/>
  <c r="U24" i="21"/>
  <c r="R68" i="21"/>
  <c r="V68" i="21"/>
  <c r="AG68" i="21" s="1"/>
  <c r="AH68" i="21" s="1"/>
  <c r="I178" i="21"/>
  <c r="K27" i="21"/>
  <c r="P45" i="41"/>
  <c r="Q22" i="41"/>
  <c r="X21" i="37"/>
  <c r="W44" i="37"/>
  <c r="S49" i="21"/>
  <c r="T49" i="21" s="1"/>
  <c r="U49" i="21"/>
  <c r="X15" i="39"/>
  <c r="W38" i="39"/>
  <c r="W30" i="39"/>
  <c r="X7" i="39"/>
  <c r="W25" i="39"/>
  <c r="J84" i="35"/>
  <c r="I427" i="36"/>
  <c r="I425" i="36"/>
  <c r="I431" i="36"/>
  <c r="I421" i="36"/>
  <c r="I428" i="36"/>
  <c r="I424" i="36"/>
  <c r="I430" i="36"/>
  <c r="I422" i="36"/>
  <c r="U59" i="21"/>
  <c r="S59" i="21"/>
  <c r="T59" i="21" s="1"/>
  <c r="AA94" i="21"/>
  <c r="AE94" i="21"/>
  <c r="L67" i="21"/>
  <c r="L102" i="21"/>
  <c r="L63" i="78"/>
  <c r="I83" i="30"/>
  <c r="L30" i="78"/>
  <c r="L206" i="78"/>
  <c r="L197" i="78" s="1"/>
  <c r="L96" i="78"/>
  <c r="L30" i="21"/>
  <c r="L161" i="78"/>
  <c r="L152" i="78" s="1"/>
  <c r="I85" i="30"/>
  <c r="L213" i="21"/>
  <c r="L204" i="21" s="1"/>
  <c r="L168" i="21"/>
  <c r="L159" i="21" s="1"/>
  <c r="I99" i="35"/>
  <c r="S46" i="78"/>
  <c r="U88" i="78"/>
  <c r="AI55" i="26"/>
  <c r="AH42" i="32"/>
  <c r="AH67" i="26"/>
  <c r="M30" i="25"/>
  <c r="P44" i="38"/>
  <c r="Q21" i="38"/>
  <c r="J132" i="21"/>
  <c r="J27" i="21"/>
  <c r="J85" i="30"/>
  <c r="K482" i="36"/>
  <c r="K493" i="36" s="1"/>
  <c r="L95" i="35" s="1"/>
  <c r="Z87" i="78"/>
  <c r="S87" i="78"/>
  <c r="X16" i="37"/>
  <c r="W39" i="37"/>
  <c r="I367" i="36"/>
  <c r="J68" i="35"/>
  <c r="I368" i="36"/>
  <c r="I376" i="36"/>
  <c r="I371" i="36"/>
  <c r="I370" i="36"/>
  <c r="I373" i="36"/>
  <c r="I375" i="36" s="1"/>
  <c r="I386" i="36" s="1"/>
  <c r="J63" i="35" s="1"/>
  <c r="I374" i="36"/>
  <c r="I377" i="36"/>
  <c r="AE47" i="21"/>
  <c r="AA47" i="21"/>
  <c r="Y47" i="21"/>
  <c r="P75" i="78"/>
  <c r="R75" i="78"/>
  <c r="R80" i="21"/>
  <c r="P80" i="21"/>
  <c r="R41" i="78"/>
  <c r="P41" i="78"/>
  <c r="G39" i="78"/>
  <c r="AA42" i="39"/>
  <c r="AB19" i="39"/>
  <c r="J29" i="41"/>
  <c r="I7" i="25"/>
  <c r="U32" i="78"/>
  <c r="Z32" i="78"/>
  <c r="T38" i="65"/>
  <c r="U38" i="65" s="1"/>
  <c r="V38" i="65" s="1"/>
  <c r="W38" i="65" s="1"/>
  <c r="X38" i="65" s="1"/>
  <c r="Y38" i="65" s="1"/>
  <c r="Z38" i="65" s="1"/>
  <c r="AA38" i="65" s="1"/>
  <c r="AB38" i="65" s="1"/>
  <c r="E62" i="35"/>
  <c r="T43" i="65"/>
  <c r="U43" i="65" s="1"/>
  <c r="V43" i="65" s="1"/>
  <c r="W43" i="65" s="1"/>
  <c r="X43" i="65" s="1"/>
  <c r="Y43" i="65" s="1"/>
  <c r="Z43" i="65" s="1"/>
  <c r="AA43" i="65" s="1"/>
  <c r="AB43" i="65" s="1"/>
  <c r="W47" i="37"/>
  <c r="X24" i="37"/>
  <c r="W61" i="27"/>
  <c r="X73" i="27" s="1"/>
  <c r="X85" i="27" s="1"/>
  <c r="AD97" i="27"/>
  <c r="U51" i="78"/>
  <c r="AG24" i="21"/>
  <c r="R103" i="21"/>
  <c r="X103" i="21"/>
  <c r="V103" i="21"/>
  <c r="AG103" i="21" s="1"/>
  <c r="AH103" i="21" s="1"/>
  <c r="D480" i="36"/>
  <c r="D478" i="36"/>
  <c r="D484" i="36"/>
  <c r="E100" i="35"/>
  <c r="D475" i="36"/>
  <c r="D481" i="36"/>
  <c r="D474" i="36"/>
  <c r="D483" i="36"/>
  <c r="D477" i="36"/>
  <c r="Q94" i="21"/>
  <c r="Y94" i="21"/>
  <c r="L83" i="35"/>
  <c r="U84" i="78"/>
  <c r="G123" i="25"/>
  <c r="W11" i="64"/>
  <c r="AJ60" i="32"/>
  <c r="AI62" i="32"/>
  <c r="S47" i="21"/>
  <c r="T47" i="21" s="1"/>
  <c r="U47" i="21"/>
  <c r="I20" i="25"/>
  <c r="I9" i="25"/>
  <c r="I16" i="25"/>
  <c r="AA19" i="21"/>
  <c r="U19" i="21"/>
  <c r="AE19" i="21"/>
  <c r="X12" i="37"/>
  <c r="W35" i="37"/>
  <c r="AA20" i="43"/>
  <c r="AB36" i="43"/>
  <c r="AC36" i="43" s="1"/>
  <c r="AD36" i="43" s="1"/>
  <c r="AE36" i="43" s="1"/>
  <c r="AF36" i="43" s="1"/>
  <c r="AG36" i="43" s="1"/>
  <c r="AH36" i="43" s="1"/>
  <c r="AI36" i="43" s="1"/>
  <c r="AJ36" i="43" s="1"/>
  <c r="AK36" i="43" s="1"/>
  <c r="M35" i="25"/>
  <c r="AH47" i="32"/>
  <c r="AH72" i="26"/>
  <c r="AI60" i="26"/>
  <c r="Y73" i="27"/>
  <c r="Y85" i="27" s="1"/>
  <c r="AC85" i="27" s="1"/>
  <c r="AC87" i="27" s="1"/>
  <c r="E63" i="25"/>
  <c r="Y24" i="21"/>
  <c r="R31" i="21"/>
  <c r="X31" i="21"/>
  <c r="V31" i="21"/>
  <c r="AG31" i="21" s="1"/>
  <c r="AH31" i="21" s="1"/>
  <c r="E18" i="25" l="1"/>
  <c r="E8" i="25"/>
  <c r="E22" i="25"/>
  <c r="G482" i="36"/>
  <c r="G493" i="36" s="1"/>
  <c r="H95" i="35" s="1"/>
  <c r="Y18" i="39"/>
  <c r="X41" i="39"/>
  <c r="AA70" i="21"/>
  <c r="AE70" i="21"/>
  <c r="Y70" i="21"/>
  <c r="W62" i="21"/>
  <c r="AI62" i="21" s="1"/>
  <c r="AJ62" i="21" s="1"/>
  <c r="V62" i="21"/>
  <c r="AG62" i="21" s="1"/>
  <c r="AH62" i="21" s="1"/>
  <c r="R62" i="21"/>
  <c r="P62" i="21"/>
  <c r="X62" i="21"/>
  <c r="V32" i="38"/>
  <c r="W9" i="38"/>
  <c r="W32" i="38" s="1"/>
  <c r="Q41" i="40"/>
  <c r="R18" i="40"/>
  <c r="S45" i="40"/>
  <c r="T22" i="40"/>
  <c r="U12" i="41"/>
  <c r="T35" i="41"/>
  <c r="Q13" i="38"/>
  <c r="P36" i="38"/>
  <c r="S47" i="41"/>
  <c r="T24" i="41"/>
  <c r="Y31" i="21"/>
  <c r="Q16" i="41"/>
  <c r="P39" i="41"/>
  <c r="D8" i="25"/>
  <c r="D22" i="25"/>
  <c r="D18" i="25"/>
  <c r="P18" i="38"/>
  <c r="O41" i="38"/>
  <c r="V38" i="40"/>
  <c r="W15" i="40"/>
  <c r="W38" i="40" s="1"/>
  <c r="D482" i="36"/>
  <c r="D493" i="36" s="1"/>
  <c r="P63" i="78"/>
  <c r="G485" i="36"/>
  <c r="G494" i="36" s="1"/>
  <c r="H96" i="35" s="1"/>
  <c r="M29" i="41"/>
  <c r="F53" i="41"/>
  <c r="M53" i="41" s="1"/>
  <c r="O53" i="41" s="1"/>
  <c r="P53" i="41" s="1"/>
  <c r="Q53" i="41" s="1"/>
  <c r="R53" i="41" s="1"/>
  <c r="S53" i="41" s="1"/>
  <c r="T53" i="41" s="1"/>
  <c r="U53" i="41" s="1"/>
  <c r="V53" i="41" s="1"/>
  <c r="W53" i="41" s="1"/>
  <c r="AH45" i="32"/>
  <c r="M33" i="25"/>
  <c r="AI58" i="26"/>
  <c r="AH70" i="26"/>
  <c r="P39" i="40"/>
  <c r="Q16" i="40"/>
  <c r="U79" i="78"/>
  <c r="Z79" i="78"/>
  <c r="Q15" i="38"/>
  <c r="P38" i="38"/>
  <c r="W61" i="21"/>
  <c r="AI61" i="21" s="1"/>
  <c r="AJ61" i="21" s="1"/>
  <c r="X9" i="39"/>
  <c r="W32" i="39"/>
  <c r="AG48" i="32"/>
  <c r="AH61" i="26"/>
  <c r="AG73" i="26"/>
  <c r="L36" i="25"/>
  <c r="V46" i="37"/>
  <c r="W23" i="37"/>
  <c r="Q8" i="38"/>
  <c r="P31" i="38"/>
  <c r="P26" i="38"/>
  <c r="Q15" i="41"/>
  <c r="P38" i="41"/>
  <c r="P32" i="41"/>
  <c r="Q9" i="41"/>
  <c r="I93" i="78"/>
  <c r="W31" i="21"/>
  <c r="AI31" i="21" s="1"/>
  <c r="AJ31" i="21" s="1"/>
  <c r="G64" i="21"/>
  <c r="Q23" i="41"/>
  <c r="P46" i="41"/>
  <c r="AB8" i="39"/>
  <c r="AA31" i="39"/>
  <c r="X44" i="39"/>
  <c r="Y21" i="39"/>
  <c r="O36" i="40"/>
  <c r="P13" i="40"/>
  <c r="T33" i="41"/>
  <c r="U10" i="41"/>
  <c r="T23" i="38"/>
  <c r="S46" i="38"/>
  <c r="AA12" i="21"/>
  <c r="D39" i="71"/>
  <c r="Q21" i="40"/>
  <c r="P44" i="40"/>
  <c r="Q40" i="40"/>
  <c r="R17" i="40"/>
  <c r="W24" i="38"/>
  <c r="W47" i="38" s="1"/>
  <c r="V47" i="38"/>
  <c r="O49" i="38"/>
  <c r="O50" i="38"/>
  <c r="D476" i="36"/>
  <c r="D491" i="36" s="1"/>
  <c r="I60" i="78"/>
  <c r="I49" i="78" s="1"/>
  <c r="I37" i="78" s="1"/>
  <c r="J170" i="78"/>
  <c r="X34" i="39"/>
  <c r="Y11" i="39"/>
  <c r="I91" i="78"/>
  <c r="N91" i="78"/>
  <c r="I97" i="21"/>
  <c r="H97" i="21"/>
  <c r="M97" i="21"/>
  <c r="J91" i="78"/>
  <c r="L91" i="78"/>
  <c r="O97" i="21"/>
  <c r="L97" i="21"/>
  <c r="K97" i="21"/>
  <c r="M91" i="78"/>
  <c r="K91" i="78"/>
  <c r="O91" i="78"/>
  <c r="J97" i="21"/>
  <c r="H91" i="78"/>
  <c r="N97" i="21"/>
  <c r="Q20" i="41"/>
  <c r="P43" i="41"/>
  <c r="AA25" i="37"/>
  <c r="AA30" i="37"/>
  <c r="AB7" i="37"/>
  <c r="U13" i="21"/>
  <c r="Q13" i="21"/>
  <c r="S13" i="21"/>
  <c r="T13" i="21" s="1"/>
  <c r="X33" i="39"/>
  <c r="Y10" i="39"/>
  <c r="Q19" i="38"/>
  <c r="P42" i="38"/>
  <c r="Y20" i="39"/>
  <c r="X43" i="39"/>
  <c r="I429" i="36"/>
  <c r="I440" i="36" s="1"/>
  <c r="J79" i="35" s="1"/>
  <c r="H479" i="36"/>
  <c r="H492" i="36" s="1"/>
  <c r="I94" i="35" s="1"/>
  <c r="J125" i="78"/>
  <c r="Q33" i="21"/>
  <c r="AB19" i="37"/>
  <c r="AA42" i="37"/>
  <c r="F22" i="25"/>
  <c r="F8" i="25"/>
  <c r="F18" i="25"/>
  <c r="V43" i="38"/>
  <c r="W20" i="38"/>
  <c r="W43" i="38" s="1"/>
  <c r="T49" i="41"/>
  <c r="T48" i="41"/>
  <c r="R58" i="78"/>
  <c r="H50" i="78"/>
  <c r="P50" i="78" s="1"/>
  <c r="P58" i="78"/>
  <c r="Z58" i="78" s="1"/>
  <c r="T58" i="78"/>
  <c r="H18" i="25"/>
  <c r="H22" i="25"/>
  <c r="H8" i="25"/>
  <c r="Z48" i="37"/>
  <c r="Z49" i="37"/>
  <c r="Y13" i="21"/>
  <c r="AE13" i="21"/>
  <c r="AA13" i="21"/>
  <c r="P45" i="38"/>
  <c r="Q22" i="38"/>
  <c r="G18" i="25"/>
  <c r="G8" i="25"/>
  <c r="G22" i="25"/>
  <c r="AG60" i="27"/>
  <c r="P29" i="78"/>
  <c r="H5" i="78"/>
  <c r="D479" i="36"/>
  <c r="D492" i="36" s="1"/>
  <c r="I423" i="36"/>
  <c r="I438" i="36" s="1"/>
  <c r="J77" i="35" s="1"/>
  <c r="M132" i="21"/>
  <c r="M99" i="21"/>
  <c r="N177" i="21"/>
  <c r="E429" i="36"/>
  <c r="E440" i="36" s="1"/>
  <c r="F79" i="35" s="1"/>
  <c r="G429" i="36"/>
  <c r="G440" i="36" s="1"/>
  <c r="H79" i="35" s="1"/>
  <c r="R24" i="40"/>
  <c r="Q47" i="40"/>
  <c r="Q40" i="41"/>
  <c r="R17" i="41"/>
  <c r="AE84" i="27"/>
  <c r="AF72" i="27"/>
  <c r="W24" i="39"/>
  <c r="V47" i="39"/>
  <c r="H6" i="21"/>
  <c r="V61" i="21"/>
  <c r="AG61" i="21" s="1"/>
  <c r="AH61" i="21" s="1"/>
  <c r="R61" i="21"/>
  <c r="X61" i="21"/>
  <c r="P61" i="21"/>
  <c r="U13" i="78"/>
  <c r="Z13" i="78"/>
  <c r="Z33" i="37"/>
  <c r="AA10" i="37"/>
  <c r="Q14" i="41"/>
  <c r="P37" i="41"/>
  <c r="Q10" i="38"/>
  <c r="P33" i="38"/>
  <c r="S70" i="21"/>
  <c r="T70" i="21" s="1"/>
  <c r="U70" i="21"/>
  <c r="Q40" i="38"/>
  <c r="R17" i="38"/>
  <c r="I432" i="36"/>
  <c r="I441" i="36" s="1"/>
  <c r="J80" i="35" s="1"/>
  <c r="H369" i="36"/>
  <c r="H384" i="36" s="1"/>
  <c r="I61" i="35" s="1"/>
  <c r="S78" i="78"/>
  <c r="J177" i="21"/>
  <c r="J93" i="78"/>
  <c r="F375" i="36"/>
  <c r="F386" i="36" s="1"/>
  <c r="G63" i="35" s="1"/>
  <c r="L27" i="21"/>
  <c r="G27" i="78"/>
  <c r="AF67" i="27"/>
  <c r="AE79" i="27"/>
  <c r="U30" i="41"/>
  <c r="U25" i="41"/>
  <c r="V7" i="41"/>
  <c r="F43" i="71"/>
  <c r="AA69" i="21"/>
  <c r="U44" i="41"/>
  <c r="V21" i="41"/>
  <c r="P57" i="78"/>
  <c r="AC45" i="39"/>
  <c r="AD22" i="39"/>
  <c r="AD45" i="39" s="1"/>
  <c r="V31" i="37"/>
  <c r="W8" i="37"/>
  <c r="Q35" i="40"/>
  <c r="R12" i="40"/>
  <c r="AA68" i="21"/>
  <c r="Q66" i="21"/>
  <c r="AA8" i="21"/>
  <c r="Y8" i="21"/>
  <c r="Q32" i="40"/>
  <c r="R9" i="40"/>
  <c r="E80" i="35"/>
  <c r="E63" i="35"/>
  <c r="R28" i="78"/>
  <c r="T28" i="78"/>
  <c r="H27" i="78"/>
  <c r="AC19" i="39"/>
  <c r="AB42" i="39"/>
  <c r="U75" i="78"/>
  <c r="Z75" i="78"/>
  <c r="X68" i="21"/>
  <c r="AE68" i="21" s="1"/>
  <c r="F171" i="21"/>
  <c r="P172" i="21"/>
  <c r="R172" i="21"/>
  <c r="P72" i="78"/>
  <c r="G71" i="78"/>
  <c r="AB20" i="43"/>
  <c r="AA28" i="43"/>
  <c r="I378" i="36"/>
  <c r="I387" i="36" s="1"/>
  <c r="J64" i="35" s="1"/>
  <c r="N30" i="25"/>
  <c r="AI42" i="32"/>
  <c r="AJ55" i="26"/>
  <c r="AI67" i="26"/>
  <c r="W49" i="39"/>
  <c r="W48" i="39"/>
  <c r="H432" i="36"/>
  <c r="H441" i="36" s="1"/>
  <c r="I80" i="35" s="1"/>
  <c r="P65" i="21"/>
  <c r="F64" i="21"/>
  <c r="W62" i="26"/>
  <c r="AD98" i="26"/>
  <c r="S74" i="78"/>
  <c r="K369" i="36"/>
  <c r="K384" i="36" s="1"/>
  <c r="L61" i="35" s="1"/>
  <c r="J423" i="36"/>
  <c r="J438" i="36" s="1"/>
  <c r="K77" i="35" s="1"/>
  <c r="Y22" i="37"/>
  <c r="X45" i="37"/>
  <c r="H372" i="36"/>
  <c r="H385" i="36" s="1"/>
  <c r="I62" i="35" s="1"/>
  <c r="U8" i="21"/>
  <c r="S8" i="21"/>
  <c r="R6" i="21"/>
  <c r="P102" i="21"/>
  <c r="W68" i="21"/>
  <c r="AI68" i="21" s="1"/>
  <c r="AJ68" i="21" s="1"/>
  <c r="I171" i="21"/>
  <c r="X172" i="21"/>
  <c r="D429" i="36"/>
  <c r="D440" i="36" s="1"/>
  <c r="P66" i="21"/>
  <c r="Y66" i="21" s="1"/>
  <c r="R66" i="21"/>
  <c r="Y46" i="21"/>
  <c r="AA46" i="21"/>
  <c r="AE46" i="21"/>
  <c r="W13" i="41"/>
  <c r="W36" i="41" s="1"/>
  <c r="V36" i="41"/>
  <c r="R29" i="78"/>
  <c r="T29" i="78"/>
  <c r="U29" i="78" s="1"/>
  <c r="Y79" i="21"/>
  <c r="AA79" i="21"/>
  <c r="G34" i="78"/>
  <c r="G113" i="30"/>
  <c r="I113" i="30" s="1"/>
  <c r="G67" i="78"/>
  <c r="G35" i="21"/>
  <c r="G100" i="78"/>
  <c r="G72" i="21"/>
  <c r="G107" i="21"/>
  <c r="S12" i="78"/>
  <c r="L99" i="21"/>
  <c r="G479" i="36"/>
  <c r="G492" i="36" s="1"/>
  <c r="H94" i="35" s="1"/>
  <c r="T63" i="78"/>
  <c r="U63" i="78" s="1"/>
  <c r="R63" i="78"/>
  <c r="S63" i="78" s="1"/>
  <c r="W79" i="27"/>
  <c r="AD79" i="27" s="1"/>
  <c r="AA81" i="21"/>
  <c r="AE81" i="21"/>
  <c r="Y81" i="21"/>
  <c r="X37" i="39"/>
  <c r="Y14" i="39"/>
  <c r="H125" i="78"/>
  <c r="X213" i="21"/>
  <c r="I204" i="21"/>
  <c r="X204" i="21" s="1"/>
  <c r="W67" i="21"/>
  <c r="AI67" i="21" s="1"/>
  <c r="F476" i="36"/>
  <c r="F491" i="36" s="1"/>
  <c r="G93" i="35" s="1"/>
  <c r="L16" i="35"/>
  <c r="K180" i="36"/>
  <c r="K34" i="35"/>
  <c r="J241" i="36"/>
  <c r="D168" i="25"/>
  <c r="C178" i="25"/>
  <c r="C199" i="25"/>
  <c r="O27" i="21"/>
  <c r="Q34" i="38"/>
  <c r="R11" i="38"/>
  <c r="U68" i="21"/>
  <c r="S68" i="21"/>
  <c r="T68" i="21" s="1"/>
  <c r="E67" i="35"/>
  <c r="J67" i="35"/>
  <c r="H67" i="35"/>
  <c r="G67" i="35"/>
  <c r="F67" i="35"/>
  <c r="L67" i="35"/>
  <c r="K67" i="35"/>
  <c r="I67" i="35"/>
  <c r="X30" i="21"/>
  <c r="V30" i="21"/>
  <c r="AG30" i="21" s="1"/>
  <c r="R30" i="21"/>
  <c r="K50" i="35"/>
  <c r="J302" i="36"/>
  <c r="G16" i="35"/>
  <c r="F180" i="36"/>
  <c r="AJ19" i="21"/>
  <c r="AJ17" i="21" s="1"/>
  <c r="AJ5" i="21" s="1"/>
  <c r="P33" i="71" s="1"/>
  <c r="Y12" i="37"/>
  <c r="X35" i="37"/>
  <c r="AC61" i="27"/>
  <c r="AC63" i="27" s="1"/>
  <c r="AD61" i="27"/>
  <c r="AD63" i="27" s="1"/>
  <c r="D63" i="25"/>
  <c r="W73" i="27"/>
  <c r="W85" i="27" s="1"/>
  <c r="AD85" i="27" s="1"/>
  <c r="AG61" i="27" s="1"/>
  <c r="Z41" i="78"/>
  <c r="U41" i="78"/>
  <c r="Q44" i="38"/>
  <c r="R21" i="38"/>
  <c r="Q45" i="41"/>
  <c r="R22" i="41"/>
  <c r="H426" i="36"/>
  <c r="H439" i="36" s="1"/>
  <c r="I78" i="35" s="1"/>
  <c r="F93" i="78"/>
  <c r="P94" i="78"/>
  <c r="V85" i="27"/>
  <c r="AD73" i="27"/>
  <c r="Z9" i="78"/>
  <c r="U9" i="78"/>
  <c r="K375" i="36"/>
  <c r="K386" i="36" s="1"/>
  <c r="L63" i="35" s="1"/>
  <c r="J432" i="36"/>
  <c r="J441" i="36" s="1"/>
  <c r="K80" i="35" s="1"/>
  <c r="G41" i="21"/>
  <c r="P42" i="21"/>
  <c r="F159" i="21"/>
  <c r="P168" i="21"/>
  <c r="R168" i="21"/>
  <c r="E432" i="36"/>
  <c r="E441" i="36" s="1"/>
  <c r="F80" i="35" s="1"/>
  <c r="W28" i="21"/>
  <c r="I27" i="21"/>
  <c r="R48" i="78"/>
  <c r="R38" i="78" s="1"/>
  <c r="P48" i="78"/>
  <c r="H47" i="78"/>
  <c r="P47" i="78" s="1"/>
  <c r="U29" i="37"/>
  <c r="U53" i="37" s="1"/>
  <c r="K3" i="25"/>
  <c r="N74" i="30"/>
  <c r="O74" i="30"/>
  <c r="T131" i="78"/>
  <c r="L132" i="21"/>
  <c r="L170" i="78"/>
  <c r="R30" i="78"/>
  <c r="T30" i="78"/>
  <c r="R206" i="78"/>
  <c r="H197" i="78"/>
  <c r="H132" i="21"/>
  <c r="Q25" i="40"/>
  <c r="R7" i="40"/>
  <c r="Q30" i="40"/>
  <c r="I197" i="78"/>
  <c r="T197" i="78" s="1"/>
  <c r="T206" i="78"/>
  <c r="R12" i="38"/>
  <c r="Q35" i="38"/>
  <c r="F485" i="36"/>
  <c r="F494" i="36" s="1"/>
  <c r="G96" i="35" s="1"/>
  <c r="H34" i="35"/>
  <c r="G241" i="36"/>
  <c r="L50" i="35"/>
  <c r="K302" i="36"/>
  <c r="G34" i="35"/>
  <c r="F241" i="36"/>
  <c r="O132" i="21"/>
  <c r="O27" i="78"/>
  <c r="E372" i="36"/>
  <c r="E385" i="36" s="1"/>
  <c r="Q39" i="38"/>
  <c r="R16" i="38"/>
  <c r="G38" i="78"/>
  <c r="P39" i="78"/>
  <c r="AH62" i="27"/>
  <c r="AG74" i="27"/>
  <c r="L64" i="25"/>
  <c r="L3" i="25"/>
  <c r="V29" i="37"/>
  <c r="F372" i="36"/>
  <c r="F385" i="36" s="1"/>
  <c r="G62" i="35" s="1"/>
  <c r="Y103" i="21"/>
  <c r="Q103" i="21"/>
  <c r="F164" i="78"/>
  <c r="P165" i="78"/>
  <c r="R165" i="78"/>
  <c r="AA44" i="21"/>
  <c r="Y44" i="21"/>
  <c r="P30" i="78"/>
  <c r="F197" i="78"/>
  <c r="P206" i="78"/>
  <c r="AA103" i="21"/>
  <c r="AE103" i="21"/>
  <c r="N132" i="21"/>
  <c r="E423" i="36"/>
  <c r="E438" i="36" s="1"/>
  <c r="F77" i="35" s="1"/>
  <c r="H81" i="78"/>
  <c r="H87" i="21"/>
  <c r="I164" i="78"/>
  <c r="T165" i="78"/>
  <c r="R138" i="21"/>
  <c r="F133" i="21"/>
  <c r="P133" i="21" s="1"/>
  <c r="P138" i="21"/>
  <c r="R131" i="78"/>
  <c r="F126" i="78"/>
  <c r="P126" i="78" s="1"/>
  <c r="P131" i="78"/>
  <c r="Y13" i="37"/>
  <c r="X36" i="37"/>
  <c r="R52" i="21"/>
  <c r="P52" i="21"/>
  <c r="H51" i="21"/>
  <c r="W6" i="37"/>
  <c r="X32" i="37"/>
  <c r="Y9" i="37"/>
  <c r="AE45" i="21"/>
  <c r="Y45" i="21"/>
  <c r="AA45" i="21"/>
  <c r="L125" i="78"/>
  <c r="L93" i="78"/>
  <c r="R67" i="21"/>
  <c r="X67" i="21"/>
  <c r="V67" i="21"/>
  <c r="AG67" i="21" s="1"/>
  <c r="H64" i="21"/>
  <c r="R65" i="21"/>
  <c r="V65" i="21"/>
  <c r="X65" i="21"/>
  <c r="P49" i="40"/>
  <c r="P48" i="40"/>
  <c r="L34" i="35"/>
  <c r="K241" i="36"/>
  <c r="E34" i="35"/>
  <c r="D241" i="36"/>
  <c r="J34" i="35"/>
  <c r="I241" i="36"/>
  <c r="O177" i="21"/>
  <c r="O93" i="78"/>
  <c r="K423" i="36"/>
  <c r="K438" i="36" s="1"/>
  <c r="L77" i="35" s="1"/>
  <c r="AJ62" i="32"/>
  <c r="AK60" i="32"/>
  <c r="X25" i="39"/>
  <c r="X30" i="39"/>
  <c r="Y7" i="39"/>
  <c r="V49" i="32"/>
  <c r="C37" i="25"/>
  <c r="Z63" i="78"/>
  <c r="AJ90" i="21"/>
  <c r="I64" i="21"/>
  <c r="W65" i="21"/>
  <c r="Z12" i="78"/>
  <c r="U12" i="78"/>
  <c r="E95" i="35"/>
  <c r="Y24" i="37"/>
  <c r="X47" i="37"/>
  <c r="S41" i="78"/>
  <c r="I369" i="36"/>
  <c r="I384" i="36" s="1"/>
  <c r="J61" i="35" s="1"/>
  <c r="M61" i="35" s="1"/>
  <c r="H123" i="25"/>
  <c r="X11" i="64"/>
  <c r="W12" i="64"/>
  <c r="E93" i="35"/>
  <c r="S103" i="21"/>
  <c r="T103" i="21" s="1"/>
  <c r="U103" i="21"/>
  <c r="AA80" i="21"/>
  <c r="Y80" i="21"/>
  <c r="AE80" i="21"/>
  <c r="X38" i="39"/>
  <c r="Y15" i="39"/>
  <c r="H423" i="36"/>
  <c r="H438" i="36" s="1"/>
  <c r="I77" i="35" s="1"/>
  <c r="P61" i="78"/>
  <c r="F60" i="78"/>
  <c r="K378" i="36"/>
  <c r="K387" i="36" s="1"/>
  <c r="L64" i="35" s="1"/>
  <c r="J429" i="36"/>
  <c r="J440" i="36" s="1"/>
  <c r="K79" i="35" s="1"/>
  <c r="S44" i="21"/>
  <c r="U44" i="21"/>
  <c r="R41" i="21"/>
  <c r="H375" i="36"/>
  <c r="H386" i="36" s="1"/>
  <c r="I63" i="35" s="1"/>
  <c r="M83" i="30"/>
  <c r="P30" i="21"/>
  <c r="N90" i="78"/>
  <c r="H96" i="21"/>
  <c r="L90" i="78"/>
  <c r="J90" i="78"/>
  <c r="N96" i="21"/>
  <c r="M90" i="78"/>
  <c r="K90" i="78"/>
  <c r="I96" i="21"/>
  <c r="H90" i="78"/>
  <c r="J96" i="21"/>
  <c r="O90" i="78"/>
  <c r="L96" i="21"/>
  <c r="O96" i="21"/>
  <c r="I90" i="78"/>
  <c r="K96" i="21"/>
  <c r="M96" i="21"/>
  <c r="T210" i="78"/>
  <c r="I209" i="78"/>
  <c r="G426" i="36"/>
  <c r="G439" i="36" s="1"/>
  <c r="H78" i="35" s="1"/>
  <c r="R29" i="21"/>
  <c r="P29" i="21"/>
  <c r="Y29" i="21" s="1"/>
  <c r="P62" i="78"/>
  <c r="X138" i="21"/>
  <c r="T62" i="78"/>
  <c r="U62" i="78" s="1"/>
  <c r="R62" i="78"/>
  <c r="AE27" i="43"/>
  <c r="N112" i="25"/>
  <c r="AF19" i="43"/>
  <c r="S45" i="21"/>
  <c r="T45" i="21" s="1"/>
  <c r="U45" i="21"/>
  <c r="K118" i="25"/>
  <c r="J117" i="25"/>
  <c r="AA31" i="43"/>
  <c r="AJ55" i="21"/>
  <c r="AJ53" i="21" s="1"/>
  <c r="AJ40" i="21" s="1"/>
  <c r="Q33" i="71" s="1"/>
  <c r="L60" i="78"/>
  <c r="L49" i="78" s="1"/>
  <c r="L37" i="78" s="1"/>
  <c r="G476" i="36"/>
  <c r="G491" i="36" s="1"/>
  <c r="H93" i="35" s="1"/>
  <c r="H204" i="21"/>
  <c r="R213" i="21"/>
  <c r="U8" i="78"/>
  <c r="Z8" i="78"/>
  <c r="T53" i="39"/>
  <c r="V53" i="39" s="1"/>
  <c r="W53" i="39" s="1"/>
  <c r="X53" i="39" s="1"/>
  <c r="Y53" i="39" s="1"/>
  <c r="Z53" i="39" s="1"/>
  <c r="AA53" i="39" s="1"/>
  <c r="AB53" i="39" s="1"/>
  <c r="AC53" i="39" s="1"/>
  <c r="AD53" i="39" s="1"/>
  <c r="S53" i="39"/>
  <c r="X28" i="21"/>
  <c r="V28" i="21"/>
  <c r="R28" i="21"/>
  <c r="H27" i="21"/>
  <c r="W102" i="21"/>
  <c r="AI102" i="21" s="1"/>
  <c r="E50" i="35"/>
  <c r="D302" i="36"/>
  <c r="H16" i="35"/>
  <c r="G180" i="36"/>
  <c r="K16" i="35"/>
  <c r="J180" i="36"/>
  <c r="O125" i="78"/>
  <c r="U80" i="21"/>
  <c r="S80" i="21"/>
  <c r="T80" i="21" s="1"/>
  <c r="I426" i="36"/>
  <c r="I439" i="36" s="1"/>
  <c r="J78" i="35" s="1"/>
  <c r="H429" i="36"/>
  <c r="H440" i="36" s="1"/>
  <c r="I79" i="35" s="1"/>
  <c r="P28" i="78"/>
  <c r="Z28" i="78" s="1"/>
  <c r="F27" i="78"/>
  <c r="F204" i="21"/>
  <c r="P213" i="21"/>
  <c r="F152" i="78"/>
  <c r="P152" i="78" s="1"/>
  <c r="P161" i="78"/>
  <c r="R161" i="78"/>
  <c r="Q34" i="40"/>
  <c r="R11" i="40"/>
  <c r="I99" i="21"/>
  <c r="W100" i="21"/>
  <c r="AI100" i="21" s="1"/>
  <c r="R101" i="21"/>
  <c r="P101" i="21"/>
  <c r="P95" i="78"/>
  <c r="Y9" i="21"/>
  <c r="AA9" i="21"/>
  <c r="AE9" i="21"/>
  <c r="U8" i="65"/>
  <c r="T70" i="65"/>
  <c r="Y14" i="37"/>
  <c r="X37" i="37"/>
  <c r="Z78" i="78"/>
  <c r="U78" i="78"/>
  <c r="R34" i="41"/>
  <c r="S11" i="41"/>
  <c r="U10" i="21"/>
  <c r="S10" i="21"/>
  <c r="T10" i="21" s="1"/>
  <c r="L115" i="25"/>
  <c r="AD21" i="43"/>
  <c r="AC29" i="43"/>
  <c r="K116" i="25"/>
  <c r="AB30" i="43"/>
  <c r="AC22" i="43"/>
  <c r="AB23" i="43"/>
  <c r="L177" i="21"/>
  <c r="Y15" i="37"/>
  <c r="X38" i="37"/>
  <c r="S8" i="78"/>
  <c r="R5" i="78"/>
  <c r="W40" i="39"/>
  <c r="X17" i="39"/>
  <c r="M85" i="30"/>
  <c r="H170" i="78"/>
  <c r="I50" i="35"/>
  <c r="H302" i="36"/>
  <c r="F34" i="35"/>
  <c r="E241" i="36"/>
  <c r="H50" i="35"/>
  <c r="G302" i="36"/>
  <c r="F50" i="35"/>
  <c r="E302" i="36"/>
  <c r="J9" i="25"/>
  <c r="J20" i="25"/>
  <c r="J16" i="25"/>
  <c r="O60" i="78"/>
  <c r="O49" i="78" s="1"/>
  <c r="O37" i="78" s="1"/>
  <c r="E378" i="36"/>
  <c r="E387" i="36" s="1"/>
  <c r="Q101" i="21"/>
  <c r="X44" i="37"/>
  <c r="Y21" i="37"/>
  <c r="F99" i="21"/>
  <c r="P100" i="21"/>
  <c r="Y20" i="37"/>
  <c r="X43" i="37"/>
  <c r="Z29" i="78"/>
  <c r="I16" i="35"/>
  <c r="H180" i="36"/>
  <c r="I18" i="25"/>
  <c r="I8" i="25"/>
  <c r="I22" i="25"/>
  <c r="X39" i="37"/>
  <c r="Y16" i="37"/>
  <c r="X183" i="21"/>
  <c r="T24" i="21"/>
  <c r="Q24" i="21" s="1"/>
  <c r="U31" i="21"/>
  <c r="S31" i="21"/>
  <c r="T31" i="21" s="1"/>
  <c r="D485" i="36"/>
  <c r="D494" i="36" s="1"/>
  <c r="AH24" i="21"/>
  <c r="AH17" i="21" s="1"/>
  <c r="AH5" i="21" s="1"/>
  <c r="P28" i="71" s="1"/>
  <c r="J53" i="41"/>
  <c r="L53" i="41" s="1"/>
  <c r="L29" i="41"/>
  <c r="S75" i="78"/>
  <c r="I372" i="36"/>
  <c r="I385" i="36" s="1"/>
  <c r="J62" i="35" s="1"/>
  <c r="AA31" i="21"/>
  <c r="AE31" i="21"/>
  <c r="R217" i="21"/>
  <c r="F216" i="21"/>
  <c r="R216" i="21" s="1"/>
  <c r="P217" i="21"/>
  <c r="F27" i="21"/>
  <c r="P28" i="21"/>
  <c r="U74" i="78"/>
  <c r="Z74" i="78"/>
  <c r="K372" i="36"/>
  <c r="K385" i="36" s="1"/>
  <c r="L62" i="35" s="1"/>
  <c r="H482" i="36"/>
  <c r="H493" i="36" s="1"/>
  <c r="I95" i="35" s="1"/>
  <c r="M177" i="21"/>
  <c r="J426" i="36"/>
  <c r="J439" i="36" s="1"/>
  <c r="K78" i="35" s="1"/>
  <c r="P67" i="21"/>
  <c r="X34" i="37"/>
  <c r="Y11" i="37"/>
  <c r="S42" i="78"/>
  <c r="X13" i="39"/>
  <c r="W36" i="39"/>
  <c r="G423" i="36"/>
  <c r="G438" i="36" s="1"/>
  <c r="H77" i="35" s="1"/>
  <c r="D423" i="36"/>
  <c r="D438" i="36" s="1"/>
  <c r="R176" i="78"/>
  <c r="F171" i="78"/>
  <c r="P171" i="78" s="1"/>
  <c r="P176" i="78"/>
  <c r="Y23" i="39"/>
  <c r="X46" i="39"/>
  <c r="S9" i="21"/>
  <c r="T9" i="21" s="1"/>
  <c r="U9" i="21"/>
  <c r="T95" i="78"/>
  <c r="U95" i="78" s="1"/>
  <c r="R95" i="78"/>
  <c r="S95" i="78" s="1"/>
  <c r="G76" i="21"/>
  <c r="P77" i="21"/>
  <c r="D90" i="36"/>
  <c r="AA10" i="21"/>
  <c r="AE10" i="21"/>
  <c r="Y10" i="21"/>
  <c r="L64" i="21"/>
  <c r="R96" i="78"/>
  <c r="T96" i="78"/>
  <c r="P6" i="78"/>
  <c r="G5" i="78"/>
  <c r="H177" i="21"/>
  <c r="T61" i="78"/>
  <c r="R61" i="78"/>
  <c r="H60" i="78"/>
  <c r="W30" i="21"/>
  <c r="AI30" i="21" s="1"/>
  <c r="T161" i="78"/>
  <c r="I152" i="78"/>
  <c r="I34" i="35"/>
  <c r="H241" i="36"/>
  <c r="G50" i="35"/>
  <c r="F302" i="36"/>
  <c r="J16" i="35"/>
  <c r="I180" i="36"/>
  <c r="N6" i="41"/>
  <c r="K29" i="41"/>
  <c r="K53" i="41" s="1"/>
  <c r="J7" i="25"/>
  <c r="O64" i="21"/>
  <c r="E375" i="36"/>
  <c r="E386" i="36" s="1"/>
  <c r="F63" i="35" s="1"/>
  <c r="K432" i="36"/>
  <c r="K441" i="36" s="1"/>
  <c r="L80" i="35" s="1"/>
  <c r="C76" i="39"/>
  <c r="AC97" i="27"/>
  <c r="AD99" i="27"/>
  <c r="AI72" i="26"/>
  <c r="N35" i="25"/>
  <c r="AJ60" i="26"/>
  <c r="AI47" i="32"/>
  <c r="E94" i="35"/>
  <c r="R210" i="78"/>
  <c r="F209" i="78"/>
  <c r="R209" i="78" s="1"/>
  <c r="P210" i="78"/>
  <c r="X49" i="32"/>
  <c r="X13" i="32" s="1"/>
  <c r="Y74" i="26"/>
  <c r="Y86" i="26" s="1"/>
  <c r="X74" i="26"/>
  <c r="E37" i="25"/>
  <c r="P7" i="21"/>
  <c r="G6" i="21"/>
  <c r="P96" i="78"/>
  <c r="N93" i="78"/>
  <c r="U42" i="78"/>
  <c r="Z42" i="78"/>
  <c r="I216" i="21"/>
  <c r="I177" i="21" s="1"/>
  <c r="X217" i="21"/>
  <c r="D426" i="36"/>
  <c r="D439" i="36" s="1"/>
  <c r="R183" i="21"/>
  <c r="F178" i="21"/>
  <c r="P178" i="21" s="1"/>
  <c r="P183" i="21"/>
  <c r="AH53" i="21"/>
  <c r="AH40" i="21" s="1"/>
  <c r="Q28" i="71" s="1"/>
  <c r="S46" i="21"/>
  <c r="T46" i="21" s="1"/>
  <c r="U46" i="21"/>
  <c r="U79" i="21"/>
  <c r="S79" i="21"/>
  <c r="H107" i="21"/>
  <c r="H106" i="21" s="1"/>
  <c r="H100" i="78"/>
  <c r="H35" i="21"/>
  <c r="H34" i="21" s="1"/>
  <c r="H67" i="78"/>
  <c r="H72" i="21"/>
  <c r="H71" i="21" s="1"/>
  <c r="H34" i="78"/>
  <c r="L27" i="78"/>
  <c r="R102" i="21"/>
  <c r="X102" i="21"/>
  <c r="V102" i="21"/>
  <c r="AG102" i="21" s="1"/>
  <c r="V79" i="27"/>
  <c r="AC67" i="27"/>
  <c r="AD67" i="27"/>
  <c r="U81" i="21"/>
  <c r="S81" i="21"/>
  <c r="T81" i="21" s="1"/>
  <c r="X100" i="21"/>
  <c r="H99" i="21"/>
  <c r="V100" i="21"/>
  <c r="AG100" i="21" s="1"/>
  <c r="R100" i="21"/>
  <c r="H93" i="78"/>
  <c r="R94" i="78"/>
  <c r="T94" i="78"/>
  <c r="I159" i="21"/>
  <c r="X168" i="21"/>
  <c r="J50" i="35"/>
  <c r="I302" i="36"/>
  <c r="E16" i="35"/>
  <c r="D180" i="36"/>
  <c r="F16" i="35"/>
  <c r="E180" i="36"/>
  <c r="O99" i="21"/>
  <c r="R35" i="40" l="1"/>
  <c r="S12" i="40"/>
  <c r="S17" i="38"/>
  <c r="R40" i="38"/>
  <c r="AA33" i="37"/>
  <c r="AB10" i="37"/>
  <c r="R47" i="40"/>
  <c r="S24" i="40"/>
  <c r="U58" i="78"/>
  <c r="T91" i="78"/>
  <c r="R91" i="78"/>
  <c r="P91" i="78"/>
  <c r="Z91" i="78" s="1"/>
  <c r="R40" i="40"/>
  <c r="S17" i="40"/>
  <c r="U33" i="41"/>
  <c r="V10" i="41"/>
  <c r="R15" i="41"/>
  <c r="Q38" i="41"/>
  <c r="AH48" i="32"/>
  <c r="AH73" i="26"/>
  <c r="AI61" i="26"/>
  <c r="M36" i="25"/>
  <c r="R23" i="41"/>
  <c r="Q46" i="41"/>
  <c r="P49" i="38"/>
  <c r="P50" i="38"/>
  <c r="Q39" i="40"/>
  <c r="R16" i="40"/>
  <c r="Q36" i="38"/>
  <c r="R13" i="38"/>
  <c r="Q31" i="21"/>
  <c r="L493" i="36"/>
  <c r="Z30" i="78"/>
  <c r="S29" i="78"/>
  <c r="W31" i="37"/>
  <c r="X8" i="37"/>
  <c r="X24" i="39"/>
  <c r="W47" i="39"/>
  <c r="L62" i="25"/>
  <c r="AH60" i="27"/>
  <c r="AG72" i="27"/>
  <c r="Y43" i="39"/>
  <c r="Z20" i="39"/>
  <c r="AB25" i="37"/>
  <c r="AB30" i="37"/>
  <c r="AC7" i="37"/>
  <c r="Q13" i="40"/>
  <c r="P36" i="40"/>
  <c r="Y62" i="21"/>
  <c r="Q62" i="21"/>
  <c r="I170" i="78"/>
  <c r="Z94" i="78"/>
  <c r="V30" i="41"/>
  <c r="V25" i="41"/>
  <c r="W7" i="41"/>
  <c r="S58" i="78"/>
  <c r="P97" i="21"/>
  <c r="R97" i="21"/>
  <c r="X97" i="21"/>
  <c r="V97" i="21"/>
  <c r="AG97" i="21" s="1"/>
  <c r="AH97" i="21" s="1"/>
  <c r="Q44" i="40"/>
  <c r="R21" i="40"/>
  <c r="Q26" i="38"/>
  <c r="R8" i="38"/>
  <c r="Q31" i="38"/>
  <c r="Y9" i="39"/>
  <c r="X32" i="39"/>
  <c r="U35" i="41"/>
  <c r="V12" i="41"/>
  <c r="AE62" i="21"/>
  <c r="AA62" i="21"/>
  <c r="Y41" i="39"/>
  <c r="Z18" i="39"/>
  <c r="U49" i="41"/>
  <c r="U48" i="41"/>
  <c r="AA61" i="21"/>
  <c r="AE61" i="21"/>
  <c r="AB42" i="37"/>
  <c r="AC19" i="37"/>
  <c r="R19" i="38"/>
  <c r="Q42" i="38"/>
  <c r="AA48" i="37"/>
  <c r="AA49" i="37"/>
  <c r="W97" i="21"/>
  <c r="AI97" i="21" s="1"/>
  <c r="AJ97" i="21" s="1"/>
  <c r="Y44" i="39"/>
  <c r="Z21" i="39"/>
  <c r="X23" i="37"/>
  <c r="W46" i="37"/>
  <c r="N33" i="25"/>
  <c r="AI45" i="32"/>
  <c r="AJ58" i="26"/>
  <c r="AI70" i="26"/>
  <c r="R16" i="41"/>
  <c r="Q39" i="41"/>
  <c r="T45" i="40"/>
  <c r="U22" i="40"/>
  <c r="S62" i="21"/>
  <c r="T62" i="21" s="1"/>
  <c r="U62" i="21"/>
  <c r="L492" i="36"/>
  <c r="H38" i="78"/>
  <c r="Q33" i="38"/>
  <c r="R10" i="38"/>
  <c r="Y61" i="21"/>
  <c r="Q61" i="21"/>
  <c r="R40" i="41"/>
  <c r="S17" i="41"/>
  <c r="Z10" i="39"/>
  <c r="Y33" i="39"/>
  <c r="Q32" i="41"/>
  <c r="R9" i="41"/>
  <c r="U96" i="78"/>
  <c r="M94" i="35"/>
  <c r="Z57" i="78"/>
  <c r="V57" i="78"/>
  <c r="S57" i="78"/>
  <c r="U57" i="78"/>
  <c r="S61" i="21"/>
  <c r="T61" i="21" s="1"/>
  <c r="U61" i="21"/>
  <c r="R22" i="38"/>
  <c r="Q45" i="38"/>
  <c r="R20" i="41"/>
  <c r="Q43" i="41"/>
  <c r="Q38" i="38"/>
  <c r="R15" i="38"/>
  <c r="U24" i="41"/>
  <c r="T47" i="41"/>
  <c r="R41" i="40"/>
  <c r="S18" i="40"/>
  <c r="W21" i="41"/>
  <c r="W44" i="41" s="1"/>
  <c r="V44" i="41"/>
  <c r="R14" i="41"/>
  <c r="Q37" i="41"/>
  <c r="Y34" i="39"/>
  <c r="Z11" i="39"/>
  <c r="T46" i="38"/>
  <c r="U23" i="38"/>
  <c r="AB31" i="39"/>
  <c r="AC8" i="39"/>
  <c r="P41" i="38"/>
  <c r="Q18" i="38"/>
  <c r="L439" i="36"/>
  <c r="E78" i="35"/>
  <c r="M78" i="35" s="1"/>
  <c r="E181" i="36"/>
  <c r="F17" i="35"/>
  <c r="S94" i="78"/>
  <c r="T34" i="78"/>
  <c r="H33" i="78"/>
  <c r="R34" i="78"/>
  <c r="Z96" i="78"/>
  <c r="I35" i="35"/>
  <c r="H242" i="36"/>
  <c r="T79" i="21"/>
  <c r="P6" i="21"/>
  <c r="Z95" i="27"/>
  <c r="Z59" i="27" s="1"/>
  <c r="X92" i="27"/>
  <c r="X56" i="27" s="1"/>
  <c r="AA94" i="27"/>
  <c r="AA58" i="27" s="1"/>
  <c r="Y95" i="27"/>
  <c r="Y59" i="27" s="1"/>
  <c r="AB94" i="27"/>
  <c r="AB58" i="27" s="1"/>
  <c r="Y93" i="27"/>
  <c r="Y57" i="27" s="1"/>
  <c r="W93" i="27"/>
  <c r="AB92" i="27"/>
  <c r="AB56" i="27" s="1"/>
  <c r="Y92" i="27"/>
  <c r="Y56" i="27" s="1"/>
  <c r="X93" i="27"/>
  <c r="Y94" i="27"/>
  <c r="Y58" i="27" s="1"/>
  <c r="X94" i="27"/>
  <c r="Z93" i="27"/>
  <c r="Z57" i="27" s="1"/>
  <c r="AA95" i="27"/>
  <c r="AA59" i="27" s="1"/>
  <c r="W92" i="27"/>
  <c r="AA93" i="27"/>
  <c r="AA57" i="27" s="1"/>
  <c r="Z94" i="27"/>
  <c r="Z58" i="27" s="1"/>
  <c r="AA92" i="27"/>
  <c r="AA56" i="27" s="1"/>
  <c r="AB93" i="27"/>
  <c r="AB57" i="27" s="1"/>
  <c r="Z92" i="27"/>
  <c r="Z56" i="27" s="1"/>
  <c r="W95" i="27"/>
  <c r="AB95" i="27"/>
  <c r="AB59" i="27" s="1"/>
  <c r="W94" i="27"/>
  <c r="X95" i="27"/>
  <c r="O6" i="41"/>
  <c r="K7" i="25"/>
  <c r="N29" i="41"/>
  <c r="N53" i="41" s="1"/>
  <c r="F303" i="36"/>
  <c r="G51" i="35"/>
  <c r="Y43" i="37"/>
  <c r="Z20" i="37"/>
  <c r="F51" i="35"/>
  <c r="E303" i="36"/>
  <c r="Y17" i="39"/>
  <c r="X40" i="39"/>
  <c r="AD22" i="43"/>
  <c r="L116" i="25"/>
  <c r="AC30" i="43"/>
  <c r="AC23" i="43"/>
  <c r="U28" i="21"/>
  <c r="S28" i="21"/>
  <c r="Q28" i="21"/>
  <c r="S62" i="78"/>
  <c r="R90" i="78"/>
  <c r="P90" i="78"/>
  <c r="T90" i="78"/>
  <c r="M95" i="35"/>
  <c r="AI65" i="21"/>
  <c r="AI53" i="21" s="1"/>
  <c r="AI40" i="21" s="1"/>
  <c r="Q32" i="71" s="1"/>
  <c r="Q34" i="71" s="1"/>
  <c r="W53" i="21"/>
  <c r="W40" i="21" s="1"/>
  <c r="M5" i="71" s="1"/>
  <c r="L384" i="36"/>
  <c r="E35" i="35"/>
  <c r="D242" i="36"/>
  <c r="P51" i="21"/>
  <c r="H41" i="21"/>
  <c r="R30" i="40"/>
  <c r="R25" i="40"/>
  <c r="S7" i="40"/>
  <c r="S48" i="78"/>
  <c r="AA42" i="21"/>
  <c r="E38" i="71"/>
  <c r="S30" i="21"/>
  <c r="Q30" i="21" s="1"/>
  <c r="U30" i="21"/>
  <c r="W74" i="26"/>
  <c r="W86" i="26" s="1"/>
  <c r="AD62" i="26"/>
  <c r="AC49" i="32" s="1"/>
  <c r="D37" i="25"/>
  <c r="W49" i="32"/>
  <c r="W13" i="32" s="1"/>
  <c r="AE62" i="26"/>
  <c r="AD49" i="32" s="1"/>
  <c r="O30" i="25"/>
  <c r="AK55" i="26"/>
  <c r="AJ42" i="32"/>
  <c r="AJ67" i="26"/>
  <c r="AC20" i="43"/>
  <c r="AB28" i="43"/>
  <c r="L441" i="36"/>
  <c r="Q65" i="21"/>
  <c r="Y65" i="21"/>
  <c r="X53" i="21"/>
  <c r="F62" i="35"/>
  <c r="M62" i="35" s="1"/>
  <c r="L385" i="36"/>
  <c r="K51" i="35"/>
  <c r="J303" i="36"/>
  <c r="G106" i="21"/>
  <c r="R107" i="21"/>
  <c r="P107" i="21"/>
  <c r="I132" i="21"/>
  <c r="F53" i="21"/>
  <c r="P64" i="21"/>
  <c r="M80" i="35"/>
  <c r="U6" i="39"/>
  <c r="V6" i="39" s="1"/>
  <c r="J17" i="35"/>
  <c r="I181" i="36"/>
  <c r="S61" i="78"/>
  <c r="S96" i="78"/>
  <c r="Z23" i="39"/>
  <c r="Y46" i="39"/>
  <c r="Z16" i="37"/>
  <c r="Y39" i="37"/>
  <c r="P99" i="21"/>
  <c r="AA99" i="21" s="1"/>
  <c r="F88" i="21"/>
  <c r="AE21" i="43"/>
  <c r="M115" i="25"/>
  <c r="AD29" i="43"/>
  <c r="Z95" i="78"/>
  <c r="Y28" i="21"/>
  <c r="X17" i="21"/>
  <c r="AA30" i="21"/>
  <c r="AE30" i="21"/>
  <c r="F49" i="78"/>
  <c r="P60" i="78"/>
  <c r="AL60" i="32"/>
  <c r="AK62" i="32"/>
  <c r="AG65" i="21"/>
  <c r="AG53" i="21" s="1"/>
  <c r="AG40" i="21" s="1"/>
  <c r="Q27" i="71" s="1"/>
  <c r="V53" i="21"/>
  <c r="S52" i="21"/>
  <c r="T52" i="21" s="1"/>
  <c r="U52" i="21"/>
  <c r="F125" i="78"/>
  <c r="P125" i="78" s="1"/>
  <c r="P164" i="78"/>
  <c r="AI28" i="21"/>
  <c r="AI17" i="21" s="1"/>
  <c r="AI5" i="21" s="1"/>
  <c r="P32" i="71" s="1"/>
  <c r="P34" i="71" s="1"/>
  <c r="W17" i="21"/>
  <c r="W5" i="21" s="1"/>
  <c r="M4" i="71" s="1"/>
  <c r="F82" i="78"/>
  <c r="P93" i="78"/>
  <c r="AG73" i="27"/>
  <c r="L63" i="25"/>
  <c r="AH61" i="27"/>
  <c r="Y30" i="21"/>
  <c r="R72" i="21"/>
  <c r="R53" i="21" s="1"/>
  <c r="P72" i="21"/>
  <c r="G71" i="21"/>
  <c r="Z22" i="37"/>
  <c r="Y45" i="37"/>
  <c r="AE65" i="21"/>
  <c r="AA65" i="21"/>
  <c r="AD19" i="39"/>
  <c r="AD42" i="39" s="1"/>
  <c r="AC42" i="39"/>
  <c r="R32" i="40"/>
  <c r="S9" i="40"/>
  <c r="W96" i="21"/>
  <c r="J51" i="35"/>
  <c r="I303" i="36"/>
  <c r="U61" i="78"/>
  <c r="T49" i="78"/>
  <c r="Y34" i="37"/>
  <c r="Z11" i="37"/>
  <c r="Z21" i="37"/>
  <c r="Y44" i="37"/>
  <c r="L118" i="25"/>
  <c r="AE101" i="21"/>
  <c r="AA101" i="21"/>
  <c r="Z62" i="78"/>
  <c r="Z61" i="78"/>
  <c r="U65" i="21"/>
  <c r="S65" i="21"/>
  <c r="AI62" i="27"/>
  <c r="AH74" i="27"/>
  <c r="M64" i="25"/>
  <c r="G242" i="36"/>
  <c r="H35" i="35"/>
  <c r="K35" i="35"/>
  <c r="J242" i="36"/>
  <c r="AD87" i="27"/>
  <c r="AG55" i="27"/>
  <c r="P100" i="78"/>
  <c r="G99" i="78"/>
  <c r="AE102" i="21"/>
  <c r="AA102" i="21"/>
  <c r="R67" i="78"/>
  <c r="R49" i="78" s="1"/>
  <c r="H66" i="78"/>
  <c r="H49" i="78" s="1"/>
  <c r="H37" i="78" s="1"/>
  <c r="T67" i="78"/>
  <c r="Y13" i="39"/>
  <c r="X36" i="39"/>
  <c r="X48" i="39"/>
  <c r="X49" i="39"/>
  <c r="E168" i="25"/>
  <c r="D178" i="25"/>
  <c r="R100" i="78"/>
  <c r="S100" i="78" s="1"/>
  <c r="H99" i="78"/>
  <c r="T100" i="78"/>
  <c r="AD74" i="26"/>
  <c r="X86" i="26"/>
  <c r="AE74" i="26"/>
  <c r="Q100" i="21"/>
  <c r="Y100" i="21"/>
  <c r="Y102" i="21"/>
  <c r="Q102" i="21"/>
  <c r="AA28" i="21"/>
  <c r="AE28" i="21"/>
  <c r="Q10" i="21"/>
  <c r="Z14" i="37"/>
  <c r="Y37" i="37"/>
  <c r="S101" i="21"/>
  <c r="U101" i="21"/>
  <c r="H17" i="35"/>
  <c r="G181" i="36"/>
  <c r="AE29" i="21"/>
  <c r="AA29" i="21"/>
  <c r="M93" i="35"/>
  <c r="Z13" i="37"/>
  <c r="Y36" i="37"/>
  <c r="I125" i="78"/>
  <c r="P197" i="78"/>
  <c r="R197" i="78"/>
  <c r="L51" i="35"/>
  <c r="K303" i="36"/>
  <c r="R35" i="38"/>
  <c r="S12" i="38"/>
  <c r="K16" i="25"/>
  <c r="K20" i="25"/>
  <c r="R45" i="41"/>
  <c r="S22" i="41"/>
  <c r="G34" i="21"/>
  <c r="R35" i="21"/>
  <c r="P35" i="21"/>
  <c r="U6" i="21"/>
  <c r="U28" i="78"/>
  <c r="S100" i="21"/>
  <c r="U100" i="21"/>
  <c r="E96" i="35"/>
  <c r="M96" i="35" s="1"/>
  <c r="L494" i="36"/>
  <c r="AG28" i="21"/>
  <c r="AG17" i="21" s="1"/>
  <c r="AG5" i="21" s="1"/>
  <c r="P27" i="71" s="1"/>
  <c r="V17" i="21"/>
  <c r="V5" i="21" s="1"/>
  <c r="L4" i="71" s="1"/>
  <c r="AA52" i="21"/>
  <c r="AE52" i="21"/>
  <c r="Y52" i="21"/>
  <c r="S102" i="21"/>
  <c r="U102" i="21"/>
  <c r="P204" i="21"/>
  <c r="R204" i="21"/>
  <c r="O112" i="25"/>
  <c r="AG19" i="43"/>
  <c r="AF27" i="43"/>
  <c r="S29" i="21"/>
  <c r="U29" i="21"/>
  <c r="Q29" i="21"/>
  <c r="Y38" i="39"/>
  <c r="Z15" i="39"/>
  <c r="L491" i="36"/>
  <c r="Z9" i="37"/>
  <c r="Y32" i="37"/>
  <c r="R87" i="21"/>
  <c r="P87" i="21"/>
  <c r="H86" i="21"/>
  <c r="P38" i="78"/>
  <c r="F242" i="36"/>
  <c r="G35" i="35"/>
  <c r="U30" i="78"/>
  <c r="F181" i="36"/>
  <c r="G17" i="35"/>
  <c r="Y37" i="39"/>
  <c r="Z14" i="39"/>
  <c r="G66" i="78"/>
  <c r="P67" i="78"/>
  <c r="Z67" i="78" s="1"/>
  <c r="U66" i="21"/>
  <c r="S66" i="21"/>
  <c r="T8" i="21"/>
  <c r="T6" i="21" s="1"/>
  <c r="S6" i="21"/>
  <c r="F132" i="21"/>
  <c r="P132" i="21" s="1"/>
  <c r="P171" i="21"/>
  <c r="S28" i="78"/>
  <c r="AA7" i="21"/>
  <c r="D38" i="71"/>
  <c r="J35" i="35"/>
  <c r="I242" i="36"/>
  <c r="Q48" i="40"/>
  <c r="Q49" i="40"/>
  <c r="E73" i="25"/>
  <c r="E80" i="25" s="1"/>
  <c r="X25" i="32"/>
  <c r="Y25" i="32"/>
  <c r="Y37" i="32" s="1"/>
  <c r="AK60" i="26"/>
  <c r="AJ47" i="32"/>
  <c r="O35" i="25"/>
  <c r="AJ72" i="26"/>
  <c r="AE67" i="21"/>
  <c r="AA67" i="21"/>
  <c r="P27" i="21"/>
  <c r="F17" i="21"/>
  <c r="I51" i="35"/>
  <c r="H303" i="36"/>
  <c r="Z15" i="37"/>
  <c r="Y38" i="37"/>
  <c r="D181" i="36"/>
  <c r="E17" i="35"/>
  <c r="U94" i="78"/>
  <c r="J22" i="25"/>
  <c r="J18" i="25"/>
  <c r="J8" i="25"/>
  <c r="X216" i="21"/>
  <c r="X177" i="21" s="1"/>
  <c r="Q9" i="21"/>
  <c r="E77" i="35"/>
  <c r="M77" i="35" s="1"/>
  <c r="L438" i="36"/>
  <c r="Y101" i="21"/>
  <c r="F35" i="35"/>
  <c r="E242" i="36"/>
  <c r="T209" i="78"/>
  <c r="T170" i="78" s="1"/>
  <c r="V8" i="65"/>
  <c r="U70" i="65"/>
  <c r="P27" i="78"/>
  <c r="F16" i="78"/>
  <c r="E90" i="36"/>
  <c r="W13" i="64"/>
  <c r="Y12" i="64"/>
  <c r="Q67" i="21"/>
  <c r="Y67" i="21"/>
  <c r="H80" i="78"/>
  <c r="P81" i="78"/>
  <c r="R81" i="78"/>
  <c r="S30" i="78"/>
  <c r="AC73" i="27"/>
  <c r="R44" i="38"/>
  <c r="S21" i="38"/>
  <c r="R34" i="38"/>
  <c r="S11" i="38"/>
  <c r="L17" i="35"/>
  <c r="K181" i="36"/>
  <c r="AA66" i="21"/>
  <c r="AE66" i="21"/>
  <c r="Q8" i="21"/>
  <c r="Q68" i="21"/>
  <c r="Y68" i="21"/>
  <c r="L386" i="36"/>
  <c r="AA77" i="21"/>
  <c r="F38" i="71"/>
  <c r="AA100" i="21"/>
  <c r="AE100" i="21"/>
  <c r="J181" i="36"/>
  <c r="K17" i="35"/>
  <c r="P209" i="78"/>
  <c r="F170" i="78"/>
  <c r="P170" i="78" s="1"/>
  <c r="P5" i="78"/>
  <c r="P216" i="21"/>
  <c r="F177" i="21"/>
  <c r="P177" i="21" s="1"/>
  <c r="I17" i="35"/>
  <c r="H181" i="36"/>
  <c r="F64" i="35"/>
  <c r="M64" i="35" s="1"/>
  <c r="L387" i="36"/>
  <c r="H51" i="35"/>
  <c r="G303" i="36"/>
  <c r="K117" i="25"/>
  <c r="AB31" i="43"/>
  <c r="S34" i="41"/>
  <c r="T11" i="41"/>
  <c r="R34" i="40"/>
  <c r="S11" i="40"/>
  <c r="E51" i="35"/>
  <c r="D303" i="36"/>
  <c r="V96" i="21"/>
  <c r="P96" i="21"/>
  <c r="R96" i="21"/>
  <c r="X96" i="21"/>
  <c r="T44" i="21"/>
  <c r="T41" i="21" s="1"/>
  <c r="S41" i="21"/>
  <c r="AA11" i="64"/>
  <c r="I123" i="25"/>
  <c r="X12" i="64"/>
  <c r="X13" i="64" s="1"/>
  <c r="Z24" i="37"/>
  <c r="Y47" i="37"/>
  <c r="Y30" i="39"/>
  <c r="Y25" i="39"/>
  <c r="Z7" i="39"/>
  <c r="L35" i="35"/>
  <c r="K242" i="36"/>
  <c r="U67" i="21"/>
  <c r="S67" i="21"/>
  <c r="M3" i="25"/>
  <c r="W29" i="37"/>
  <c r="X6" i="37"/>
  <c r="L16" i="25"/>
  <c r="L20" i="25"/>
  <c r="S16" i="38"/>
  <c r="R39" i="38"/>
  <c r="Z48" i="78"/>
  <c r="U48" i="78"/>
  <c r="P159" i="21"/>
  <c r="Z12" i="37"/>
  <c r="Y35" i="37"/>
  <c r="D199" i="25"/>
  <c r="C209" i="25"/>
  <c r="G33" i="78"/>
  <c r="P34" i="78"/>
  <c r="Z34" i="78" s="1"/>
  <c r="E79" i="35"/>
  <c r="M79" i="35" s="1"/>
  <c r="L440" i="36"/>
  <c r="AC98" i="26"/>
  <c r="AC99" i="26" s="1"/>
  <c r="AD100" i="26"/>
  <c r="AD99" i="26"/>
  <c r="M63" i="35"/>
  <c r="R40" i="21" l="1"/>
  <c r="R37" i="21"/>
  <c r="V23" i="38"/>
  <c r="U46" i="38"/>
  <c r="R42" i="38"/>
  <c r="S19" i="38"/>
  <c r="Y23" i="37"/>
  <c r="X46" i="37"/>
  <c r="Q50" i="38"/>
  <c r="Q49" i="38"/>
  <c r="W25" i="41"/>
  <c r="W30" i="41"/>
  <c r="U100" i="78"/>
  <c r="Z90" i="78"/>
  <c r="AA11" i="39"/>
  <c r="Z34" i="39"/>
  <c r="R32" i="41"/>
  <c r="S9" i="41"/>
  <c r="R33" i="38"/>
  <c r="S10" i="38"/>
  <c r="Z44" i="39"/>
  <c r="AA21" i="39"/>
  <c r="R44" i="40"/>
  <c r="S21" i="40"/>
  <c r="V48" i="41"/>
  <c r="V49" i="41"/>
  <c r="AC30" i="37"/>
  <c r="AD7" i="37"/>
  <c r="AC25" i="37"/>
  <c r="S13" i="38"/>
  <c r="R36" i="38"/>
  <c r="T17" i="40"/>
  <c r="S40" i="40"/>
  <c r="AB33" i="37"/>
  <c r="AC10" i="37"/>
  <c r="R26" i="38"/>
  <c r="S8" i="38"/>
  <c r="R31" i="38"/>
  <c r="V33" i="41"/>
  <c r="W10" i="41"/>
  <c r="W33" i="41" s="1"/>
  <c r="V24" i="41"/>
  <c r="U47" i="41"/>
  <c r="R39" i="41"/>
  <c r="S16" i="41"/>
  <c r="V35" i="41"/>
  <c r="W12" i="41"/>
  <c r="W35" i="41" s="1"/>
  <c r="X47" i="39"/>
  <c r="Y24" i="39"/>
  <c r="AI48" i="32"/>
  <c r="AI73" i="26"/>
  <c r="N36" i="25"/>
  <c r="AJ61" i="26"/>
  <c r="AH72" i="27"/>
  <c r="AI60" i="27"/>
  <c r="M62" i="25"/>
  <c r="Q41" i="38"/>
  <c r="R18" i="38"/>
  <c r="R38" i="38"/>
  <c r="S15" i="38"/>
  <c r="AB49" i="37"/>
  <c r="AB48" i="37"/>
  <c r="X31" i="37"/>
  <c r="Y8" i="37"/>
  <c r="R39" i="40"/>
  <c r="S16" i="40"/>
  <c r="U45" i="40"/>
  <c r="V22" i="40"/>
  <c r="Q36" i="40"/>
  <c r="R13" i="40"/>
  <c r="R37" i="41"/>
  <c r="S14" i="41"/>
  <c r="AA10" i="39"/>
  <c r="Z33" i="39"/>
  <c r="AJ70" i="26"/>
  <c r="O33" i="25"/>
  <c r="AJ45" i="32"/>
  <c r="AK58" i="26"/>
  <c r="Q97" i="21"/>
  <c r="Y97" i="21"/>
  <c r="Z43" i="39"/>
  <c r="AA20" i="39"/>
  <c r="S91" i="78"/>
  <c r="S40" i="38"/>
  <c r="T17" i="38"/>
  <c r="R46" i="41"/>
  <c r="S23" i="41"/>
  <c r="AC31" i="39"/>
  <c r="AD8" i="39"/>
  <c r="AD31" i="39" s="1"/>
  <c r="S40" i="41"/>
  <c r="T17" i="41"/>
  <c r="Y32" i="39"/>
  <c r="Z9" i="39"/>
  <c r="S97" i="21"/>
  <c r="T97" i="21" s="1"/>
  <c r="U97" i="21"/>
  <c r="U91" i="78"/>
  <c r="T12" i="40"/>
  <c r="S35" i="40"/>
  <c r="T18" i="40"/>
  <c r="S41" i="40"/>
  <c r="T24" i="40"/>
  <c r="S47" i="40"/>
  <c r="Q6" i="21"/>
  <c r="S22" i="38"/>
  <c r="R45" i="38"/>
  <c r="AD19" i="37"/>
  <c r="AD42" i="37" s="1"/>
  <c r="AC42" i="37"/>
  <c r="S20" i="41"/>
  <c r="R43" i="41"/>
  <c r="AA18" i="39"/>
  <c r="Z41" i="39"/>
  <c r="AA97" i="21"/>
  <c r="AE97" i="21"/>
  <c r="S15" i="41"/>
  <c r="R38" i="41"/>
  <c r="R36" i="78"/>
  <c r="R37" i="78"/>
  <c r="L6" i="25"/>
  <c r="V29" i="39"/>
  <c r="W6" i="39"/>
  <c r="T21" i="38"/>
  <c r="S44" i="38"/>
  <c r="AA95" i="26"/>
  <c r="AA59" i="26" s="1"/>
  <c r="X93" i="26"/>
  <c r="X57" i="26" s="1"/>
  <c r="Z92" i="26"/>
  <c r="Z56" i="26" s="1"/>
  <c r="X92" i="26"/>
  <c r="X56" i="26" s="1"/>
  <c r="AB95" i="26"/>
  <c r="AB59" i="26" s="1"/>
  <c r="W95" i="26"/>
  <c r="W93" i="26"/>
  <c r="Z95" i="26"/>
  <c r="Z59" i="26" s="1"/>
  <c r="X95" i="26"/>
  <c r="X59" i="26" s="1"/>
  <c r="Y95" i="26"/>
  <c r="Y59" i="26" s="1"/>
  <c r="AB93" i="26"/>
  <c r="AB57" i="26" s="1"/>
  <c r="W92" i="26"/>
  <c r="AA92" i="26"/>
  <c r="AA56" i="26" s="1"/>
  <c r="Y92" i="26"/>
  <c r="Y56" i="26" s="1"/>
  <c r="AB92" i="26"/>
  <c r="AB56" i="26" s="1"/>
  <c r="AA93" i="26"/>
  <c r="AA57" i="26" s="1"/>
  <c r="Z93" i="26"/>
  <c r="Z57" i="26" s="1"/>
  <c r="Y93" i="26"/>
  <c r="Y57" i="26" s="1"/>
  <c r="AA12" i="37"/>
  <c r="Z35" i="37"/>
  <c r="AB11" i="64"/>
  <c r="AA12" i="64"/>
  <c r="J123" i="25"/>
  <c r="S34" i="40"/>
  <c r="T11" i="40"/>
  <c r="AA27" i="21"/>
  <c r="E42" i="71"/>
  <c r="D42" i="71"/>
  <c r="AD25" i="32"/>
  <c r="AC25" i="32"/>
  <c r="X37" i="32"/>
  <c r="P29" i="71"/>
  <c r="P41" i="71"/>
  <c r="AA72" i="21"/>
  <c r="Y72" i="21"/>
  <c r="AE72" i="21"/>
  <c r="X5" i="21"/>
  <c r="F75" i="21"/>
  <c r="F40" i="21"/>
  <c r="S25" i="40"/>
  <c r="S30" i="40"/>
  <c r="T7" i="40"/>
  <c r="AE57" i="27"/>
  <c r="I59" i="25"/>
  <c r="AB69" i="27"/>
  <c r="AB81" i="27" s="1"/>
  <c r="F60" i="25"/>
  <c r="H60" i="25"/>
  <c r="AA70" i="27"/>
  <c r="AA82" i="27" s="1"/>
  <c r="S34" i="78"/>
  <c r="Z25" i="39"/>
  <c r="Z30" i="39"/>
  <c r="AA7" i="39"/>
  <c r="F4" i="78"/>
  <c r="P66" i="78"/>
  <c r="G49" i="78"/>
  <c r="G37" i="78" s="1"/>
  <c r="Z32" i="37"/>
  <c r="AA9" i="37"/>
  <c r="S72" i="21"/>
  <c r="T72" i="21" s="1"/>
  <c r="T53" i="21" s="1"/>
  <c r="T40" i="21" s="1"/>
  <c r="U72" i="21"/>
  <c r="AM60" i="32"/>
  <c r="AL62" i="32"/>
  <c r="R48" i="40"/>
  <c r="R49" i="40"/>
  <c r="K22" i="25"/>
  <c r="K18" i="25"/>
  <c r="K8" i="25"/>
  <c r="AA68" i="27"/>
  <c r="H58" i="25"/>
  <c r="AA63" i="27"/>
  <c r="AE93" i="27"/>
  <c r="V93" i="27" s="1"/>
  <c r="V57" i="27" s="1"/>
  <c r="X57" i="27"/>
  <c r="E58" i="25"/>
  <c r="AG96" i="21"/>
  <c r="V88" i="21"/>
  <c r="Y48" i="39"/>
  <c r="Y49" i="39"/>
  <c r="T34" i="41"/>
  <c r="U11" i="41"/>
  <c r="Z5" i="78"/>
  <c r="U5" i="78"/>
  <c r="Z37" i="39"/>
  <c r="AA14" i="39"/>
  <c r="AI96" i="21"/>
  <c r="W88" i="21"/>
  <c r="W75" i="21" s="1"/>
  <c r="M6" i="71" s="1"/>
  <c r="AE107" i="21"/>
  <c r="AA107" i="21"/>
  <c r="Y107" i="21"/>
  <c r="AD13" i="32"/>
  <c r="AE37" i="32" s="1"/>
  <c r="AE38" i="32" s="1"/>
  <c r="D73" i="25"/>
  <c r="D80" i="25" s="1"/>
  <c r="AC13" i="32"/>
  <c r="U90" i="78"/>
  <c r="L117" i="25"/>
  <c r="AC31" i="43"/>
  <c r="P6" i="41"/>
  <c r="O29" i="41"/>
  <c r="L7" i="25"/>
  <c r="G60" i="25"/>
  <c r="Z70" i="27"/>
  <c r="Z82" i="27" s="1"/>
  <c r="F58" i="25"/>
  <c r="Y63" i="27"/>
  <c r="Y68" i="27"/>
  <c r="Z71" i="27"/>
  <c r="Z83" i="27" s="1"/>
  <c r="G61" i="25"/>
  <c r="U34" i="78"/>
  <c r="S81" i="78"/>
  <c r="R71" i="78"/>
  <c r="Z38" i="78"/>
  <c r="U38" i="78"/>
  <c r="AA15" i="39"/>
  <c r="Z38" i="39"/>
  <c r="Y36" i="39"/>
  <c r="Z13" i="39"/>
  <c r="P99" i="78"/>
  <c r="G82" i="78"/>
  <c r="G70" i="78" s="1"/>
  <c r="AI61" i="27"/>
  <c r="AH73" i="27"/>
  <c r="M63" i="25"/>
  <c r="F37" i="78"/>
  <c r="AA16" i="37"/>
  <c r="Z39" i="37"/>
  <c r="K6" i="25"/>
  <c r="U29" i="39"/>
  <c r="U53" i="39" s="1"/>
  <c r="U107" i="21"/>
  <c r="S107" i="21"/>
  <c r="T107" i="21" s="1"/>
  <c r="AD20" i="43"/>
  <c r="AC28" i="43"/>
  <c r="X59" i="27"/>
  <c r="AE95" i="27"/>
  <c r="V95" i="27" s="1"/>
  <c r="V59" i="27" s="1"/>
  <c r="H59" i="25"/>
  <c r="H85" i="25" s="1"/>
  <c r="AA69" i="27"/>
  <c r="AA81" i="27" s="1"/>
  <c r="AE56" i="27"/>
  <c r="I58" i="25"/>
  <c r="AB68" i="27"/>
  <c r="AB63" i="27"/>
  <c r="AE6" i="21"/>
  <c r="AA6" i="21"/>
  <c r="C30" i="71"/>
  <c r="Y6" i="21"/>
  <c r="P41" i="21"/>
  <c r="N3" i="25"/>
  <c r="X29" i="37"/>
  <c r="Y6" i="37"/>
  <c r="Q96" i="21"/>
  <c r="Y96" i="21"/>
  <c r="X88" i="21"/>
  <c r="U81" i="78"/>
  <c r="Z81" i="78"/>
  <c r="W8" i="65"/>
  <c r="V70" i="65"/>
  <c r="AE35" i="21"/>
  <c r="AA35" i="21"/>
  <c r="Y35" i="21"/>
  <c r="AA13" i="37"/>
  <c r="Z36" i="37"/>
  <c r="U67" i="78"/>
  <c r="Z100" i="78"/>
  <c r="M118" i="25"/>
  <c r="D118" i="36" s="1"/>
  <c r="D106" i="36"/>
  <c r="P106" i="21"/>
  <c r="G88" i="21"/>
  <c r="G75" i="21" s="1"/>
  <c r="I17" i="71" s="1"/>
  <c r="K17" i="71" s="1"/>
  <c r="AA51" i="21"/>
  <c r="E40" i="71"/>
  <c r="E48" i="71" s="1"/>
  <c r="S90" i="78"/>
  <c r="W58" i="27"/>
  <c r="AD94" i="27"/>
  <c r="AC94" i="27" s="1"/>
  <c r="AE92" i="27"/>
  <c r="V92" i="27" s="1"/>
  <c r="V56" i="27" s="1"/>
  <c r="AD92" i="27"/>
  <c r="AC92" i="27" s="1"/>
  <c r="W56" i="27"/>
  <c r="W57" i="27"/>
  <c r="AD93" i="27"/>
  <c r="AC93" i="27" s="1"/>
  <c r="T16" i="38"/>
  <c r="S39" i="38"/>
  <c r="AA24" i="37"/>
  <c r="Z47" i="37"/>
  <c r="U96" i="21"/>
  <c r="S96" i="21"/>
  <c r="R88" i="21"/>
  <c r="S34" i="38"/>
  <c r="T11" i="38"/>
  <c r="P80" i="78"/>
  <c r="H71" i="78"/>
  <c r="AA15" i="37"/>
  <c r="Z38" i="37"/>
  <c r="P86" i="21"/>
  <c r="H76" i="21"/>
  <c r="U35" i="21"/>
  <c r="S35" i="21"/>
  <c r="T35" i="21" s="1"/>
  <c r="T17" i="21" s="1"/>
  <c r="T5" i="21" s="1"/>
  <c r="Q35" i="21"/>
  <c r="L57" i="25"/>
  <c r="AG67" i="27"/>
  <c r="AH55" i="27"/>
  <c r="AA21" i="37"/>
  <c r="Z44" i="37"/>
  <c r="S32" i="40"/>
  <c r="T9" i="40"/>
  <c r="N115" i="25"/>
  <c r="AE29" i="43"/>
  <c r="AF21" i="43"/>
  <c r="Z46" i="39"/>
  <c r="AA23" i="39"/>
  <c r="AD86" i="26"/>
  <c r="AE86" i="26"/>
  <c r="M116" i="25"/>
  <c r="AD30" i="43"/>
  <c r="AE22" i="43"/>
  <c r="AD23" i="43"/>
  <c r="AB71" i="27"/>
  <c r="AB83" i="27" s="1"/>
  <c r="I61" i="25"/>
  <c r="AE59" i="27"/>
  <c r="H61" i="25"/>
  <c r="AA71" i="27"/>
  <c r="AA83" i="27" s="1"/>
  <c r="Y69" i="27"/>
  <c r="Y81" i="27" s="1"/>
  <c r="F59" i="25"/>
  <c r="P33" i="78"/>
  <c r="G16" i="78"/>
  <c r="G4" i="78" s="1"/>
  <c r="E199" i="25"/>
  <c r="D209" i="25"/>
  <c r="M16" i="25"/>
  <c r="M20" i="25"/>
  <c r="AA96" i="21"/>
  <c r="AE96" i="21"/>
  <c r="AL60" i="26"/>
  <c r="P35" i="25"/>
  <c r="AK72" i="26"/>
  <c r="AK47" i="32"/>
  <c r="AE87" i="21"/>
  <c r="AA87" i="21"/>
  <c r="Y87" i="21"/>
  <c r="AH19" i="43"/>
  <c r="AG27" i="43"/>
  <c r="P112" i="25"/>
  <c r="P34" i="21"/>
  <c r="G17" i="21"/>
  <c r="G5" i="21" s="1"/>
  <c r="C17" i="71" s="1"/>
  <c r="E17" i="71" s="1"/>
  <c r="E178" i="25"/>
  <c r="F168" i="25"/>
  <c r="S67" i="78"/>
  <c r="AD81" i="27"/>
  <c r="AD82" i="27"/>
  <c r="AD83" i="27"/>
  <c r="AA11" i="37"/>
  <c r="Z34" i="37"/>
  <c r="AA22" i="37"/>
  <c r="Z45" i="37"/>
  <c r="V40" i="21"/>
  <c r="L5" i="71" s="1"/>
  <c r="Q53" i="21"/>
  <c r="X40" i="21"/>
  <c r="R17" i="21"/>
  <c r="W59" i="27"/>
  <c r="AD95" i="27"/>
  <c r="AC95" i="27" s="1"/>
  <c r="G59" i="25"/>
  <c r="Z69" i="27"/>
  <c r="Z81" i="27" s="1"/>
  <c r="AE58" i="27"/>
  <c r="I60" i="25"/>
  <c r="AB70" i="27"/>
  <c r="AB82" i="27" s="1"/>
  <c r="F5" i="21"/>
  <c r="D48" i="71"/>
  <c r="S87" i="21"/>
  <c r="U87" i="21"/>
  <c r="R76" i="21"/>
  <c r="F5" i="71"/>
  <c r="C11" i="71"/>
  <c r="F90" i="36"/>
  <c r="S45" i="41"/>
  <c r="T22" i="41"/>
  <c r="S35" i="38"/>
  <c r="T12" i="38"/>
  <c r="S38" i="78"/>
  <c r="AA14" i="37"/>
  <c r="Z37" i="37"/>
  <c r="AJ62" i="27"/>
  <c r="AI74" i="27"/>
  <c r="N64" i="25"/>
  <c r="P71" i="21"/>
  <c r="AA71" i="21" s="1"/>
  <c r="G53" i="21"/>
  <c r="G40" i="21" s="1"/>
  <c r="F17" i="71" s="1"/>
  <c r="H17" i="71" s="1"/>
  <c r="F70" i="78"/>
  <c r="Q41" i="71"/>
  <c r="Q29" i="71"/>
  <c r="S5" i="78"/>
  <c r="F42" i="71"/>
  <c r="AA64" i="21"/>
  <c r="P30" i="25"/>
  <c r="AL55" i="26"/>
  <c r="AK42" i="32"/>
  <c r="AK67" i="26"/>
  <c r="Y40" i="39"/>
  <c r="Z17" i="39"/>
  <c r="Z43" i="37"/>
  <c r="AA20" i="37"/>
  <c r="Z68" i="27"/>
  <c r="G58" i="25"/>
  <c r="Z63" i="27"/>
  <c r="AE94" i="27"/>
  <c r="V94" i="27" s="1"/>
  <c r="V58" i="27" s="1"/>
  <c r="X58" i="27"/>
  <c r="Y70" i="27" s="1"/>
  <c r="Y82" i="27" s="1"/>
  <c r="F61" i="25"/>
  <c r="Y71" i="27"/>
  <c r="Y83" i="27" s="1"/>
  <c r="U12" i="40" l="1"/>
  <c r="T35" i="40"/>
  <c r="S45" i="38"/>
  <c r="T22" i="38"/>
  <c r="T14" i="41"/>
  <c r="S37" i="41"/>
  <c r="Z8" i="37"/>
  <c r="Y31" i="37"/>
  <c r="AB11" i="39"/>
  <c r="AA34" i="39"/>
  <c r="Z23" i="37"/>
  <c r="Y46" i="37"/>
  <c r="AA33" i="39"/>
  <c r="AB10" i="39"/>
  <c r="Y47" i="39"/>
  <c r="Z24" i="39"/>
  <c r="T40" i="40"/>
  <c r="U17" i="40"/>
  <c r="S44" i="40"/>
  <c r="T21" i="40"/>
  <c r="T23" i="41"/>
  <c r="S46" i="41"/>
  <c r="AI72" i="27"/>
  <c r="N62" i="25"/>
  <c r="AJ60" i="27"/>
  <c r="S36" i="38"/>
  <c r="T13" i="38"/>
  <c r="AB21" i="39"/>
  <c r="AA44" i="39"/>
  <c r="S42" i="38"/>
  <c r="T19" i="38"/>
  <c r="R36" i="40"/>
  <c r="S13" i="40"/>
  <c r="T47" i="40"/>
  <c r="U24" i="40"/>
  <c r="AA9" i="39"/>
  <c r="Z32" i="39"/>
  <c r="T40" i="38"/>
  <c r="U17" i="38"/>
  <c r="AK61" i="26"/>
  <c r="O36" i="25"/>
  <c r="AJ73" i="26"/>
  <c r="AJ48" i="32"/>
  <c r="S39" i="41"/>
  <c r="T16" i="41"/>
  <c r="R49" i="38"/>
  <c r="R50" i="38"/>
  <c r="AD30" i="37"/>
  <c r="AD25" i="37"/>
  <c r="S33" i="38"/>
  <c r="T10" i="38"/>
  <c r="T20" i="41"/>
  <c r="S43" i="41"/>
  <c r="W22" i="40"/>
  <c r="W45" i="40" s="1"/>
  <c r="V45" i="40"/>
  <c r="S38" i="38"/>
  <c r="T15" i="38"/>
  <c r="AC33" i="37"/>
  <c r="AD10" i="37"/>
  <c r="AD33" i="37" s="1"/>
  <c r="W49" i="41"/>
  <c r="W48" i="41"/>
  <c r="W23" i="38"/>
  <c r="W46" i="38" s="1"/>
  <c r="V46" i="38"/>
  <c r="AB18" i="39"/>
  <c r="AA41" i="39"/>
  <c r="AK70" i="26"/>
  <c r="AK45" i="32"/>
  <c r="AL58" i="26"/>
  <c r="P33" i="25"/>
  <c r="S26" i="38"/>
  <c r="S31" i="38"/>
  <c r="T8" i="38"/>
  <c r="U18" i="40"/>
  <c r="T41" i="40"/>
  <c r="U17" i="41"/>
  <c r="T40" i="41"/>
  <c r="T9" i="41"/>
  <c r="S32" i="41"/>
  <c r="AC49" i="37"/>
  <c r="AC48" i="37"/>
  <c r="G85" i="25"/>
  <c r="S38" i="41"/>
  <c r="T15" i="41"/>
  <c r="AA43" i="39"/>
  <c r="AB20" i="39"/>
  <c r="T16" i="40"/>
  <c r="S39" i="40"/>
  <c r="R41" i="38"/>
  <c r="S18" i="38"/>
  <c r="W24" i="41"/>
  <c r="W47" i="41" s="1"/>
  <c r="V47" i="41"/>
  <c r="Q24" i="71"/>
  <c r="Q42" i="71" s="1"/>
  <c r="E11" i="71"/>
  <c r="AB14" i="37"/>
  <c r="AA37" i="37"/>
  <c r="AB24" i="37"/>
  <c r="AA47" i="37"/>
  <c r="AB13" i="37"/>
  <c r="AA36" i="37"/>
  <c r="N16" i="25"/>
  <c r="N20" i="25"/>
  <c r="AJ61" i="27"/>
  <c r="AI73" i="27"/>
  <c r="N63" i="25"/>
  <c r="Y80" i="27"/>
  <c r="Y75" i="27"/>
  <c r="E59" i="25"/>
  <c r="X69" i="27"/>
  <c r="X81" i="27" s="1"/>
  <c r="AC81" i="27" s="1"/>
  <c r="AA32" i="37"/>
  <c r="AB9" i="37"/>
  <c r="AD92" i="26"/>
  <c r="AC92" i="26" s="1"/>
  <c r="AE92" i="26"/>
  <c r="V92" i="26" s="1"/>
  <c r="V56" i="26" s="1"/>
  <c r="W56" i="26"/>
  <c r="AA43" i="37"/>
  <c r="AB20" i="37"/>
  <c r="Q30" i="25"/>
  <c r="AM55" i="26"/>
  <c r="AL42" i="32"/>
  <c r="AL67" i="26"/>
  <c r="C16" i="71"/>
  <c r="E16" i="71" s="1"/>
  <c r="AD59" i="27"/>
  <c r="D61" i="25"/>
  <c r="W71" i="27"/>
  <c r="W83" i="27" s="1"/>
  <c r="AC59" i="27"/>
  <c r="D88" i="36"/>
  <c r="AD31" i="43"/>
  <c r="M117" i="25"/>
  <c r="D101" i="36" s="1"/>
  <c r="D128" i="36" s="1"/>
  <c r="AA46" i="39"/>
  <c r="AB23" i="39"/>
  <c r="AB21" i="37"/>
  <c r="AA44" i="37"/>
  <c r="V68" i="27"/>
  <c r="C58" i="25"/>
  <c r="V63" i="27"/>
  <c r="AA106" i="21"/>
  <c r="F44" i="71"/>
  <c r="V71" i="27"/>
  <c r="C61" i="25"/>
  <c r="K21" i="25"/>
  <c r="K9" i="25"/>
  <c r="K17" i="25"/>
  <c r="V69" i="27"/>
  <c r="C59" i="25"/>
  <c r="S17" i="21"/>
  <c r="S5" i="21" s="1"/>
  <c r="F16" i="71"/>
  <c r="H16" i="71" s="1"/>
  <c r="AB12" i="37"/>
  <c r="AA35" i="37"/>
  <c r="AC57" i="26"/>
  <c r="AB44" i="32"/>
  <c r="AB8" i="32" s="1"/>
  <c r="I32" i="25"/>
  <c r="AB69" i="26"/>
  <c r="AB81" i="26" s="1"/>
  <c r="Z68" i="26"/>
  <c r="G31" i="25"/>
  <c r="Z63" i="26"/>
  <c r="Z50" i="32" s="1"/>
  <c r="Z43" i="32"/>
  <c r="Z55" i="32" s="1"/>
  <c r="T44" i="38"/>
  <c r="U21" i="38"/>
  <c r="P71" i="78"/>
  <c r="W70" i="65"/>
  <c r="X8" i="65"/>
  <c r="X63" i="26"/>
  <c r="X50" i="32" s="1"/>
  <c r="X43" i="32"/>
  <c r="X55" i="32" s="1"/>
  <c r="E31" i="25"/>
  <c r="U12" i="38"/>
  <c r="T35" i="38"/>
  <c r="O5" i="71"/>
  <c r="Q15" i="71"/>
  <c r="Q17" i="71" s="1"/>
  <c r="AB22" i="37"/>
  <c r="AA45" i="37"/>
  <c r="G168" i="25"/>
  <c r="F178" i="25"/>
  <c r="G90" i="36"/>
  <c r="F85" i="25"/>
  <c r="AE30" i="43"/>
  <c r="N116" i="25"/>
  <c r="AF22" i="43"/>
  <c r="AE23" i="43"/>
  <c r="T34" i="38"/>
  <c r="U11" i="38"/>
  <c r="T39" i="38"/>
  <c r="U16" i="38"/>
  <c r="X71" i="27"/>
  <c r="X83" i="27" s="1"/>
  <c r="AC83" i="27" s="1"/>
  <c r="E61" i="25"/>
  <c r="F56" i="25"/>
  <c r="F79" i="25"/>
  <c r="T30" i="40"/>
  <c r="U7" i="40"/>
  <c r="T25" i="40"/>
  <c r="Y69" i="26"/>
  <c r="Y81" i="26" s="1"/>
  <c r="F32" i="25"/>
  <c r="Y44" i="32"/>
  <c r="Y8" i="32" s="1"/>
  <c r="F34" i="25"/>
  <c r="Y46" i="32"/>
  <c r="Y10" i="32" s="1"/>
  <c r="Y71" i="26"/>
  <c r="Y83" i="26" s="1"/>
  <c r="X44" i="32"/>
  <c r="X8" i="32" s="1"/>
  <c r="E32" i="25"/>
  <c r="M6" i="25"/>
  <c r="W29" i="39"/>
  <c r="X6" i="39"/>
  <c r="Z80" i="27"/>
  <c r="Z75" i="27"/>
  <c r="Z87" i="27" s="1"/>
  <c r="E209" i="25"/>
  <c r="F199" i="25"/>
  <c r="P76" i="21"/>
  <c r="Z36" i="39"/>
  <c r="AA13" i="39"/>
  <c r="V75" i="21"/>
  <c r="L6" i="71" s="1"/>
  <c r="H56" i="25"/>
  <c r="H79" i="25"/>
  <c r="T34" i="40"/>
  <c r="U11" i="40"/>
  <c r="Q40" i="21"/>
  <c r="G5" i="71"/>
  <c r="AI19" i="43"/>
  <c r="AH27" i="43"/>
  <c r="Q112" i="25"/>
  <c r="AA86" i="21"/>
  <c r="F40" i="71"/>
  <c r="AB80" i="27"/>
  <c r="AB75" i="27"/>
  <c r="AB87" i="27" s="1"/>
  <c r="P37" i="78"/>
  <c r="U34" i="41"/>
  <c r="V11" i="41"/>
  <c r="AH96" i="21"/>
  <c r="AH88" i="21" s="1"/>
  <c r="AH75" i="21" s="1"/>
  <c r="R28" i="71" s="1"/>
  <c r="AG88" i="21"/>
  <c r="AG75" i="21" s="1"/>
  <c r="R27" i="71" s="1"/>
  <c r="AA80" i="27"/>
  <c r="AA75" i="27"/>
  <c r="AA87" i="27" s="1"/>
  <c r="S49" i="40"/>
  <c r="S48" i="40"/>
  <c r="AA44" i="32"/>
  <c r="AA8" i="32" s="1"/>
  <c r="H32" i="25"/>
  <c r="AA69" i="26"/>
  <c r="AA81" i="26" s="1"/>
  <c r="G34" i="25"/>
  <c r="Z71" i="26"/>
  <c r="Z83" i="26" s="1"/>
  <c r="Z46" i="32"/>
  <c r="Z10" i="32" s="1"/>
  <c r="L21" i="25"/>
  <c r="L17" i="25"/>
  <c r="L9" i="25"/>
  <c r="Q4" i="21"/>
  <c r="U4" i="21" s="1"/>
  <c r="R5" i="21"/>
  <c r="O115" i="25"/>
  <c r="AF29" i="43"/>
  <c r="AG21" i="43"/>
  <c r="D60" i="25"/>
  <c r="AD58" i="27"/>
  <c r="AC58" i="27"/>
  <c r="W70" i="27"/>
  <c r="W82" i="27" s="1"/>
  <c r="AB16" i="37"/>
  <c r="AA39" i="37"/>
  <c r="AJ96" i="21"/>
  <c r="AJ88" i="21" s="1"/>
  <c r="AJ75" i="21" s="1"/>
  <c r="R33" i="71" s="1"/>
  <c r="AI88" i="21"/>
  <c r="AI75" i="21" s="1"/>
  <c r="R32" i="71" s="1"/>
  <c r="R34" i="71" s="1"/>
  <c r="H34" i="25"/>
  <c r="AA46" i="32"/>
  <c r="AA10" i="32" s="1"/>
  <c r="AA71" i="26"/>
  <c r="AA83" i="26" s="1"/>
  <c r="X70" i="27"/>
  <c r="X82" i="27" s="1"/>
  <c r="AC82" i="27" s="1"/>
  <c r="E60" i="25"/>
  <c r="E56" i="25" s="1"/>
  <c r="T87" i="21"/>
  <c r="T76" i="21" s="1"/>
  <c r="S76" i="21"/>
  <c r="AF58" i="27"/>
  <c r="AE70" i="27"/>
  <c r="J60" i="25"/>
  <c r="AA34" i="37"/>
  <c r="AB11" i="37"/>
  <c r="N118" i="25"/>
  <c r="E118" i="36" s="1"/>
  <c r="E106" i="36"/>
  <c r="E10" i="71"/>
  <c r="P24" i="71"/>
  <c r="P42" i="71" s="1"/>
  <c r="T96" i="21"/>
  <c r="T88" i="21" s="1"/>
  <c r="S88" i="21"/>
  <c r="C31" i="71"/>
  <c r="AE41" i="21"/>
  <c r="AA41" i="21"/>
  <c r="Y41" i="21"/>
  <c r="U41" i="21"/>
  <c r="I79" i="25"/>
  <c r="I56" i="25"/>
  <c r="AD28" i="43"/>
  <c r="AE20" i="43"/>
  <c r="P49" i="78"/>
  <c r="L18" i="25"/>
  <c r="L8" i="25"/>
  <c r="L22" i="25"/>
  <c r="X63" i="27"/>
  <c r="AA30" i="39"/>
  <c r="AB7" i="39"/>
  <c r="AA25" i="39"/>
  <c r="G4" i="71"/>
  <c r="AD37" i="32"/>
  <c r="AD38" i="32" s="1"/>
  <c r="AC37" i="32"/>
  <c r="I31" i="25"/>
  <c r="AB63" i="26"/>
  <c r="AB50" i="32" s="1"/>
  <c r="AC56" i="26"/>
  <c r="AB43" i="32"/>
  <c r="AB55" i="32" s="1"/>
  <c r="AB68" i="26"/>
  <c r="AE93" i="26"/>
  <c r="V93" i="26" s="1"/>
  <c r="V57" i="26" s="1"/>
  <c r="W57" i="26"/>
  <c r="X69" i="26" s="1"/>
  <c r="AD93" i="26"/>
  <c r="AC93" i="26" s="1"/>
  <c r="D89" i="36"/>
  <c r="AL47" i="32"/>
  <c r="Q35" i="25"/>
  <c r="AL72" i="26"/>
  <c r="AM60" i="26"/>
  <c r="Z44" i="32"/>
  <c r="Z8" i="32" s="1"/>
  <c r="G32" i="25"/>
  <c r="G84" i="25" s="1"/>
  <c r="G88" i="25" s="1"/>
  <c r="Z69" i="26"/>
  <c r="Z81" i="26" s="1"/>
  <c r="C60" i="25"/>
  <c r="V70" i="27"/>
  <c r="AK62" i="27"/>
  <c r="AJ74" i="27"/>
  <c r="O64" i="25"/>
  <c r="AF59" i="27"/>
  <c r="AE71" i="27"/>
  <c r="J61" i="25"/>
  <c r="T32" i="40"/>
  <c r="U9" i="40"/>
  <c r="W69" i="27"/>
  <c r="W81" i="27" s="1"/>
  <c r="AD57" i="27"/>
  <c r="D59" i="25"/>
  <c r="D85" i="25" s="1"/>
  <c r="AC57" i="27"/>
  <c r="O3" i="25"/>
  <c r="Y29" i="37"/>
  <c r="Z6" i="37"/>
  <c r="AE68" i="27"/>
  <c r="AF56" i="27"/>
  <c r="J58" i="25"/>
  <c r="AA38" i="39"/>
  <c r="AB15" i="39"/>
  <c r="AE11" i="32"/>
  <c r="AE6" i="32"/>
  <c r="AE7" i="32"/>
  <c r="E79" i="25"/>
  <c r="S53" i="21"/>
  <c r="I85" i="25"/>
  <c r="Y43" i="32"/>
  <c r="Y55" i="32" s="1"/>
  <c r="Y68" i="26"/>
  <c r="Y63" i="26"/>
  <c r="Y50" i="32" s="1"/>
  <c r="F31" i="25"/>
  <c r="AD95" i="26"/>
  <c r="AC95" i="26" s="1"/>
  <c r="AE95" i="26"/>
  <c r="V95" i="26" s="1"/>
  <c r="V59" i="26" s="1"/>
  <c r="W59" i="26"/>
  <c r="X71" i="26" s="1"/>
  <c r="T36" i="78"/>
  <c r="Z40" i="39"/>
  <c r="AA17" i="39"/>
  <c r="R74" i="21"/>
  <c r="U74" i="21" s="1"/>
  <c r="R75" i="21"/>
  <c r="U76" i="21"/>
  <c r="AI55" i="27"/>
  <c r="AH67" i="27"/>
  <c r="M57" i="25"/>
  <c r="Q88" i="21"/>
  <c r="X75" i="21"/>
  <c r="AN60" i="32"/>
  <c r="AM62" i="32"/>
  <c r="I16" i="71"/>
  <c r="K16" i="71" s="1"/>
  <c r="P46" i="71"/>
  <c r="X46" i="32"/>
  <c r="X10" i="32" s="1"/>
  <c r="E34" i="25"/>
  <c r="U22" i="41"/>
  <c r="T45" i="41"/>
  <c r="G79" i="25"/>
  <c r="G56" i="25"/>
  <c r="Q46" i="71"/>
  <c r="Q48" i="71" s="1"/>
  <c r="D44" i="71"/>
  <c r="AA34" i="21"/>
  <c r="E44" i="71"/>
  <c r="AG62" i="26"/>
  <c r="AG86" i="26"/>
  <c r="AH86" i="26" s="1"/>
  <c r="AI86" i="26" s="1"/>
  <c r="AJ86" i="26" s="1"/>
  <c r="AK86" i="26" s="1"/>
  <c r="AL86" i="26" s="1"/>
  <c r="AM86" i="26" s="1"/>
  <c r="AN86" i="26" s="1"/>
  <c r="AO86" i="26" s="1"/>
  <c r="AE87" i="26"/>
  <c r="AG87" i="26" s="1"/>
  <c r="AH87" i="26" s="1"/>
  <c r="AI87" i="26" s="1"/>
  <c r="AJ87" i="26" s="1"/>
  <c r="AK87" i="26" s="1"/>
  <c r="AL87" i="26" s="1"/>
  <c r="AM87" i="26" s="1"/>
  <c r="AN87" i="26" s="1"/>
  <c r="AO87" i="26" s="1"/>
  <c r="AB15" i="37"/>
  <c r="AA38" i="37"/>
  <c r="AC56" i="27"/>
  <c r="W68" i="27"/>
  <c r="AD56" i="27"/>
  <c r="D58" i="25"/>
  <c r="W63" i="27"/>
  <c r="M7" i="25"/>
  <c r="Q6" i="41"/>
  <c r="P29" i="41"/>
  <c r="AB14" i="39"/>
  <c r="AA37" i="39"/>
  <c r="X68" i="27"/>
  <c r="Z48" i="39"/>
  <c r="Z49" i="39"/>
  <c r="AF57" i="27"/>
  <c r="J59" i="25"/>
  <c r="AE69" i="27"/>
  <c r="AC11" i="64"/>
  <c r="K123" i="25"/>
  <c r="AB12" i="64"/>
  <c r="AA43" i="32"/>
  <c r="AA55" i="32" s="1"/>
  <c r="AA68" i="26"/>
  <c r="H31" i="25"/>
  <c r="AA63" i="26"/>
  <c r="AA50" i="32" s="1"/>
  <c r="I34" i="25"/>
  <c r="AB71" i="26"/>
  <c r="AB83" i="26" s="1"/>
  <c r="AB46" i="32"/>
  <c r="AB10" i="32" s="1"/>
  <c r="AC59" i="26"/>
  <c r="T31" i="38" l="1"/>
  <c r="U8" i="38"/>
  <c r="T26" i="38"/>
  <c r="AK48" i="32"/>
  <c r="AK73" i="26"/>
  <c r="AL61" i="26"/>
  <c r="P36" i="25"/>
  <c r="V17" i="38"/>
  <c r="U40" i="38"/>
  <c r="T42" i="38"/>
  <c r="U19" i="38"/>
  <c r="Z31" i="37"/>
  <c r="AA8" i="37"/>
  <c r="AC18" i="39"/>
  <c r="AB41" i="39"/>
  <c r="Z47" i="39"/>
  <c r="AA24" i="39"/>
  <c r="R29" i="71"/>
  <c r="U16" i="40"/>
  <c r="T39" i="40"/>
  <c r="S50" i="38"/>
  <c r="S49" i="38"/>
  <c r="AB33" i="39"/>
  <c r="AC10" i="39"/>
  <c r="T32" i="41"/>
  <c r="U9" i="41"/>
  <c r="AM58" i="26"/>
  <c r="AL70" i="26"/>
  <c r="Q33" i="25"/>
  <c r="AL45" i="32"/>
  <c r="U20" i="41"/>
  <c r="T43" i="41"/>
  <c r="AA32" i="39"/>
  <c r="AB9" i="39"/>
  <c r="AC21" i="39"/>
  <c r="AB44" i="39"/>
  <c r="T44" i="40"/>
  <c r="U21" i="40"/>
  <c r="T45" i="38"/>
  <c r="U22" i="38"/>
  <c r="U15" i="41"/>
  <c r="T38" i="41"/>
  <c r="V17" i="41"/>
  <c r="U40" i="41"/>
  <c r="U10" i="38"/>
  <c r="T33" i="38"/>
  <c r="U47" i="40"/>
  <c r="V24" i="40"/>
  <c r="T36" i="38"/>
  <c r="U13" i="38"/>
  <c r="Z46" i="37"/>
  <c r="AA23" i="37"/>
  <c r="AC20" i="39"/>
  <c r="AB43" i="39"/>
  <c r="U23" i="41"/>
  <c r="T46" i="41"/>
  <c r="U40" i="40"/>
  <c r="V17" i="40"/>
  <c r="T39" i="41"/>
  <c r="U16" i="41"/>
  <c r="U14" i="41"/>
  <c r="T37" i="41"/>
  <c r="E84" i="25"/>
  <c r="E97" i="25" s="1"/>
  <c r="S41" i="38"/>
  <c r="T18" i="38"/>
  <c r="U41" i="40"/>
  <c r="V18" i="40"/>
  <c r="U15" i="38"/>
  <c r="T38" i="38"/>
  <c r="AD48" i="37"/>
  <c r="AD49" i="37"/>
  <c r="T13" i="40"/>
  <c r="S36" i="40"/>
  <c r="AJ72" i="27"/>
  <c r="O62" i="25"/>
  <c r="AK60" i="27"/>
  <c r="AC11" i="39"/>
  <c r="AB34" i="39"/>
  <c r="U35" i="40"/>
  <c r="V12" i="40"/>
  <c r="E130" i="25"/>
  <c r="E140" i="25"/>
  <c r="AE69" i="26"/>
  <c r="AD69" i="26"/>
  <c r="X81" i="26"/>
  <c r="P3" i="25"/>
  <c r="Z29" i="37"/>
  <c r="AA6" i="37"/>
  <c r="G140" i="25"/>
  <c r="G130" i="25"/>
  <c r="G136" i="25" s="1"/>
  <c r="G205" i="25" s="1"/>
  <c r="G146" i="25"/>
  <c r="G215" i="25" s="1"/>
  <c r="V44" i="32"/>
  <c r="C32" i="25"/>
  <c r="H90" i="36"/>
  <c r="G178" i="25"/>
  <c r="H168" i="25"/>
  <c r="D10" i="71"/>
  <c r="F10" i="71" s="1"/>
  <c r="S2" i="21"/>
  <c r="P22" i="71"/>
  <c r="V83" i="27"/>
  <c r="AD71" i="27"/>
  <c r="AC71" i="27"/>
  <c r="AE10" i="32"/>
  <c r="I70" i="25"/>
  <c r="AB22" i="32"/>
  <c r="AB34" i="32" s="1"/>
  <c r="W80" i="27"/>
  <c r="W75" i="27"/>
  <c r="W87" i="27" s="1"/>
  <c r="G92" i="25"/>
  <c r="G144" i="25"/>
  <c r="G213" i="25" s="1"/>
  <c r="I98" i="25"/>
  <c r="J71" i="25"/>
  <c r="AF11" i="32"/>
  <c r="O20" i="25"/>
  <c r="O16" i="25"/>
  <c r="AF71" i="27"/>
  <c r="AE83" i="27"/>
  <c r="V82" i="27"/>
  <c r="AC70" i="27"/>
  <c r="AD70" i="27"/>
  <c r="AB75" i="26"/>
  <c r="AB87" i="26" s="1"/>
  <c r="AB80" i="26"/>
  <c r="H140" i="25"/>
  <c r="H130" i="25"/>
  <c r="H146" i="25"/>
  <c r="H215" i="25" s="1"/>
  <c r="F68" i="25"/>
  <c r="Y14" i="32"/>
  <c r="Y20" i="32"/>
  <c r="F130" i="25"/>
  <c r="F140" i="25"/>
  <c r="F145" i="25" s="1"/>
  <c r="F214" i="25" s="1"/>
  <c r="F136" i="25"/>
  <c r="F205" i="25" s="1"/>
  <c r="O116" i="25"/>
  <c r="AG22" i="43"/>
  <c r="AF30" i="43"/>
  <c r="AF23" i="43"/>
  <c r="E78" i="25"/>
  <c r="E29" i="25"/>
  <c r="E75" i="25" s="1"/>
  <c r="U44" i="38"/>
  <c r="V21" i="38"/>
  <c r="AE8" i="32"/>
  <c r="AB14" i="32"/>
  <c r="AB20" i="32"/>
  <c r="I68" i="25"/>
  <c r="V43" i="32"/>
  <c r="C31" i="25"/>
  <c r="V63" i="26"/>
  <c r="V50" i="32" s="1"/>
  <c r="AB47" i="37"/>
  <c r="AC24" i="37"/>
  <c r="J67" i="25"/>
  <c r="AF7" i="32"/>
  <c r="AE46" i="32"/>
  <c r="AF59" i="26"/>
  <c r="J34" i="25"/>
  <c r="AC71" i="26"/>
  <c r="AC83" i="26" s="1"/>
  <c r="X80" i="27"/>
  <c r="X75" i="27"/>
  <c r="X87" i="27" s="1"/>
  <c r="J66" i="25"/>
  <c r="AF6" i="32"/>
  <c r="AL62" i="27"/>
  <c r="AK74" i="27"/>
  <c r="P64" i="25"/>
  <c r="AC11" i="37"/>
  <c r="AB34" i="37"/>
  <c r="H134" i="25"/>
  <c r="H203" i="25" s="1"/>
  <c r="H92" i="25"/>
  <c r="N6" i="25"/>
  <c r="X29" i="39"/>
  <c r="Y6" i="39"/>
  <c r="F134" i="25"/>
  <c r="F203" i="25" s="1"/>
  <c r="F92" i="25"/>
  <c r="N117" i="25"/>
  <c r="E101" i="36" s="1"/>
  <c r="E128" i="36" s="1"/>
  <c r="AE31" i="43"/>
  <c r="I84" i="25"/>
  <c r="I88" i="25" s="1"/>
  <c r="AD68" i="27"/>
  <c r="V80" i="27"/>
  <c r="AC68" i="27"/>
  <c r="V75" i="27"/>
  <c r="V87" i="27" s="1"/>
  <c r="W43" i="32"/>
  <c r="W55" i="32" s="1"/>
  <c r="W68" i="26"/>
  <c r="W63" i="26"/>
  <c r="AE56" i="26"/>
  <c r="AD43" i="32" s="1"/>
  <c r="AD56" i="26"/>
  <c r="AC43" i="32" s="1"/>
  <c r="D31" i="25"/>
  <c r="L123" i="25"/>
  <c r="AD11" i="64"/>
  <c r="AC12" i="64"/>
  <c r="AC14" i="39"/>
  <c r="AB37" i="39"/>
  <c r="D34" i="25"/>
  <c r="W71" i="26"/>
  <c r="W83" i="26" s="1"/>
  <c r="W46" i="32"/>
  <c r="W10" i="32" s="1"/>
  <c r="X22" i="32" s="1"/>
  <c r="AD59" i="26"/>
  <c r="AC46" i="32" s="1"/>
  <c r="AE59" i="26"/>
  <c r="AD46" i="32" s="1"/>
  <c r="S40" i="21"/>
  <c r="S37" i="21"/>
  <c r="AC15" i="39"/>
  <c r="AB38" i="39"/>
  <c r="AG59" i="27"/>
  <c r="K61" i="25"/>
  <c r="AA48" i="39"/>
  <c r="AA49" i="39"/>
  <c r="H70" i="25"/>
  <c r="AA22" i="32"/>
  <c r="AA34" i="32" s="1"/>
  <c r="Q17" i="21"/>
  <c r="Z22" i="32"/>
  <c r="Z34" i="32" s="1"/>
  <c r="G70" i="25"/>
  <c r="AJ19" i="43"/>
  <c r="AI27" i="43"/>
  <c r="R112" i="25"/>
  <c r="C32" i="71"/>
  <c r="AE76" i="21"/>
  <c r="AA76" i="21"/>
  <c r="Y76" i="21"/>
  <c r="M17" i="25"/>
  <c r="M21" i="25"/>
  <c r="M9" i="25"/>
  <c r="D116" i="36" s="1"/>
  <c r="F84" i="25"/>
  <c r="F88" i="25" s="1"/>
  <c r="AB45" i="37"/>
  <c r="AC22" i="37"/>
  <c r="AF57" i="26"/>
  <c r="AC69" i="26"/>
  <c r="AC81" i="26" s="1"/>
  <c r="AE44" i="32"/>
  <c r="J32" i="25"/>
  <c r="C85" i="25"/>
  <c r="AC21" i="37"/>
  <c r="AB44" i="37"/>
  <c r="D79" i="25"/>
  <c r="D56" i="25"/>
  <c r="E70" i="25"/>
  <c r="V46" i="32"/>
  <c r="C34" i="25"/>
  <c r="Z49" i="78"/>
  <c r="S49" i="78"/>
  <c r="U49" i="78"/>
  <c r="AF70" i="27"/>
  <c r="AE82" i="27"/>
  <c r="N7" i="25"/>
  <c r="R6" i="41"/>
  <c r="Q29" i="41"/>
  <c r="AN62" i="32"/>
  <c r="AO60" i="32"/>
  <c r="AO62" i="32" s="1"/>
  <c r="J79" i="25"/>
  <c r="J56" i="25"/>
  <c r="D138" i="36"/>
  <c r="AE28" i="43"/>
  <c r="AF20" i="43"/>
  <c r="AG58" i="27"/>
  <c r="K60" i="25"/>
  <c r="P115" i="25"/>
  <c r="AH21" i="43"/>
  <c r="AG29" i="43"/>
  <c r="AA36" i="39"/>
  <c r="AB13" i="39"/>
  <c r="F209" i="25"/>
  <c r="G199" i="25"/>
  <c r="V16" i="38"/>
  <c r="U39" i="38"/>
  <c r="F135" i="25"/>
  <c r="F204" i="25" s="1"/>
  <c r="F98" i="25"/>
  <c r="X68" i="26"/>
  <c r="AC12" i="37"/>
  <c r="AB35" i="37"/>
  <c r="AM67" i="26"/>
  <c r="R30" i="25"/>
  <c r="AN55" i="26"/>
  <c r="AM42" i="32"/>
  <c r="E89" i="36"/>
  <c r="AA40" i="39"/>
  <c r="AB17" i="39"/>
  <c r="AE57" i="26"/>
  <c r="AD44" i="32" s="1"/>
  <c r="AD57" i="26"/>
  <c r="AC44" i="32" s="1"/>
  <c r="W44" i="32"/>
  <c r="W8" i="32" s="1"/>
  <c r="D32" i="25"/>
  <c r="W69" i="26"/>
  <c r="W81" i="26" s="1"/>
  <c r="AE81" i="27"/>
  <c r="AF69" i="27"/>
  <c r="N57" i="25"/>
  <c r="AI67" i="27"/>
  <c r="AJ55" i="27"/>
  <c r="AC63" i="26"/>
  <c r="AC50" i="32" s="1"/>
  <c r="AC68" i="26"/>
  <c r="AE43" i="32"/>
  <c r="J31" i="25"/>
  <c r="AF56" i="26"/>
  <c r="AC69" i="27"/>
  <c r="V81" i="27"/>
  <c r="AD69" i="27"/>
  <c r="AC23" i="39"/>
  <c r="AB46" i="39"/>
  <c r="AB32" i="37"/>
  <c r="AC9" i="37"/>
  <c r="J85" i="25"/>
  <c r="AC15" i="37"/>
  <c r="AB38" i="37"/>
  <c r="U45" i="41"/>
  <c r="V22" i="41"/>
  <c r="E92" i="25"/>
  <c r="E134" i="25"/>
  <c r="E203" i="25" s="1"/>
  <c r="E144" i="25"/>
  <c r="E213" i="25" s="1"/>
  <c r="E82" i="25"/>
  <c r="H29" i="25"/>
  <c r="H78" i="25"/>
  <c r="AG57" i="27"/>
  <c r="K59" i="25"/>
  <c r="M18" i="25"/>
  <c r="M22" i="25"/>
  <c r="M8" i="25"/>
  <c r="D99" i="36" s="1"/>
  <c r="D100" i="36" s="1"/>
  <c r="Q75" i="21"/>
  <c r="G6" i="71"/>
  <c r="C12" i="71"/>
  <c r="F6" i="71"/>
  <c r="F78" i="25"/>
  <c r="F29" i="25"/>
  <c r="F75" i="25" s="1"/>
  <c r="AG56" i="27"/>
  <c r="K58" i="25"/>
  <c r="AF63" i="27"/>
  <c r="Z20" i="32"/>
  <c r="G68" i="25"/>
  <c r="Z14" i="32"/>
  <c r="S37" i="78"/>
  <c r="I78" i="25"/>
  <c r="I82" i="25" s="1"/>
  <c r="I29" i="25"/>
  <c r="S75" i="21"/>
  <c r="S74" i="21"/>
  <c r="F48" i="71"/>
  <c r="E68" i="25"/>
  <c r="X14" i="32"/>
  <c r="T48" i="40"/>
  <c r="T49" i="40"/>
  <c r="X70" i="65"/>
  <c r="Y8" i="65"/>
  <c r="G78" i="25"/>
  <c r="G82" i="25" s="1"/>
  <c r="G29" i="25"/>
  <c r="G75" i="25" s="1"/>
  <c r="G101" i="25" s="1"/>
  <c r="H98" i="25"/>
  <c r="E88" i="36"/>
  <c r="AC14" i="37"/>
  <c r="AB37" i="37"/>
  <c r="AC7" i="39"/>
  <c r="AB30" i="39"/>
  <c r="AB25" i="39"/>
  <c r="AJ73" i="27"/>
  <c r="O63" i="25"/>
  <c r="AK61" i="27"/>
  <c r="AA75" i="26"/>
  <c r="AA87" i="26" s="1"/>
  <c r="AA80" i="26"/>
  <c r="G98" i="25"/>
  <c r="AE71" i="26"/>
  <c r="AD71" i="26"/>
  <c r="X83" i="26"/>
  <c r="AE80" i="27"/>
  <c r="AF68" i="27"/>
  <c r="AF75" i="27" s="1"/>
  <c r="AE75" i="27"/>
  <c r="U32" i="40"/>
  <c r="V9" i="40"/>
  <c r="AM47" i="32"/>
  <c r="AM72" i="26"/>
  <c r="AN60" i="26"/>
  <c r="R35" i="25"/>
  <c r="I130" i="25"/>
  <c r="I136" i="25" s="1"/>
  <c r="I205" i="25" s="1"/>
  <c r="I140" i="25"/>
  <c r="I145" i="25" s="1"/>
  <c r="I214" i="25" s="1"/>
  <c r="T75" i="21"/>
  <c r="O118" i="25"/>
  <c r="F118" i="36" s="1"/>
  <c r="F106" i="36"/>
  <c r="H84" i="25"/>
  <c r="W11" i="41"/>
  <c r="W34" i="41" s="1"/>
  <c r="V34" i="41"/>
  <c r="U34" i="40"/>
  <c r="V11" i="40"/>
  <c r="U30" i="40"/>
  <c r="V7" i="40"/>
  <c r="U25" i="40"/>
  <c r="V11" i="38"/>
  <c r="U34" i="38"/>
  <c r="V12" i="38"/>
  <c r="U35" i="38"/>
  <c r="Z75" i="26"/>
  <c r="Z87" i="26" s="1"/>
  <c r="Z80" i="26"/>
  <c r="AB43" i="37"/>
  <c r="AC20" i="37"/>
  <c r="E85" i="25"/>
  <c r="AG74" i="26"/>
  <c r="AH62" i="26"/>
  <c r="AG49" i="32"/>
  <c r="L37" i="25"/>
  <c r="Y80" i="26"/>
  <c r="Y75" i="26"/>
  <c r="Y87" i="26" s="1"/>
  <c r="I144" i="25"/>
  <c r="I213" i="25" s="1"/>
  <c r="I92" i="25"/>
  <c r="AC16" i="37"/>
  <c r="AB39" i="37"/>
  <c r="F4" i="71"/>
  <c r="Q5" i="21"/>
  <c r="C10" i="71"/>
  <c r="H68" i="25"/>
  <c r="AA14" i="32"/>
  <c r="AA20" i="32"/>
  <c r="Y22" i="32"/>
  <c r="Y34" i="32" s="1"/>
  <c r="F70" i="25"/>
  <c r="Z71" i="78"/>
  <c r="U71" i="78"/>
  <c r="S71" i="78"/>
  <c r="C79" i="25"/>
  <c r="C56" i="25"/>
  <c r="Y87" i="27"/>
  <c r="AC13" i="37"/>
  <c r="AB36" i="37"/>
  <c r="U13" i="40" l="1"/>
  <c r="T36" i="40"/>
  <c r="W17" i="38"/>
  <c r="W40" i="38" s="1"/>
  <c r="V40" i="38"/>
  <c r="I135" i="25"/>
  <c r="I204" i="25" s="1"/>
  <c r="D127" i="36"/>
  <c r="C84" i="25"/>
  <c r="C97" i="25" s="1"/>
  <c r="U44" i="40"/>
  <c r="V21" i="40"/>
  <c r="AC41" i="39"/>
  <c r="AD18" i="39"/>
  <c r="AD41" i="39" s="1"/>
  <c r="AL73" i="26"/>
  <c r="AM61" i="26"/>
  <c r="Q36" i="25"/>
  <c r="AL48" i="32"/>
  <c r="V22" i="38"/>
  <c r="U45" i="38"/>
  <c r="J84" i="25"/>
  <c r="AC34" i="39"/>
  <c r="AD11" i="39"/>
  <c r="AD34" i="39" s="1"/>
  <c r="U37" i="41"/>
  <c r="V14" i="41"/>
  <c r="AD20" i="39"/>
  <c r="AD43" i="39" s="1"/>
  <c r="AC43" i="39"/>
  <c r="V10" i="38"/>
  <c r="U33" i="38"/>
  <c r="AA31" i="37"/>
  <c r="AB8" i="37"/>
  <c r="V35" i="40"/>
  <c r="W12" i="40"/>
  <c r="W35" i="40" s="1"/>
  <c r="AC33" i="39"/>
  <c r="AD10" i="39"/>
  <c r="AD33" i="39" s="1"/>
  <c r="U43" i="41"/>
  <c r="V20" i="41"/>
  <c r="AL60" i="27"/>
  <c r="AK72" i="27"/>
  <c r="P62" i="25"/>
  <c r="V15" i="38"/>
  <c r="U38" i="38"/>
  <c r="U39" i="41"/>
  <c r="V16" i="41"/>
  <c r="AB23" i="37"/>
  <c r="AA46" i="37"/>
  <c r="W24" i="40"/>
  <c r="W47" i="40" s="1"/>
  <c r="V47" i="40"/>
  <c r="W18" i="40"/>
  <c r="W41" i="40" s="1"/>
  <c r="V41" i="40"/>
  <c r="W17" i="41"/>
  <c r="W40" i="41" s="1"/>
  <c r="V40" i="41"/>
  <c r="AD21" i="39"/>
  <c r="AD44" i="39" s="1"/>
  <c r="AC44" i="39"/>
  <c r="AM70" i="26"/>
  <c r="R33" i="25"/>
  <c r="AN58" i="26"/>
  <c r="AM45" i="32"/>
  <c r="V16" i="40"/>
  <c r="U39" i="40"/>
  <c r="U42" i="38"/>
  <c r="V19" i="38"/>
  <c r="T49" i="38"/>
  <c r="T50" i="38"/>
  <c r="V23" i="41"/>
  <c r="U46" i="41"/>
  <c r="G95" i="25"/>
  <c r="D126" i="36"/>
  <c r="V40" i="40"/>
  <c r="W17" i="40"/>
  <c r="W40" i="40" s="1"/>
  <c r="V13" i="38"/>
  <c r="U36" i="38"/>
  <c r="AB32" i="39"/>
  <c r="AC9" i="39"/>
  <c r="V9" i="41"/>
  <c r="U32" i="41"/>
  <c r="U26" i="38"/>
  <c r="V8" i="38"/>
  <c r="U31" i="38"/>
  <c r="U18" i="38"/>
  <c r="T41" i="38"/>
  <c r="U38" i="41"/>
  <c r="V15" i="41"/>
  <c r="AA47" i="39"/>
  <c r="AB24" i="39"/>
  <c r="D68" i="25"/>
  <c r="AD8" i="32"/>
  <c r="AC8" i="32"/>
  <c r="W14" i="32"/>
  <c r="AD14" i="32" s="1"/>
  <c r="R23" i="71"/>
  <c r="D12" i="71"/>
  <c r="F12" i="71" s="1"/>
  <c r="E95" i="25"/>
  <c r="F81" i="25"/>
  <c r="F91" i="25"/>
  <c r="AD21" i="37"/>
  <c r="AD44" i="37" s="1"/>
  <c r="AC44" i="37"/>
  <c r="AG71" i="27"/>
  <c r="L61" i="25"/>
  <c r="AH59" i="27"/>
  <c r="D29" i="25"/>
  <c r="D78" i="25"/>
  <c r="E91" i="25"/>
  <c r="E81" i="25"/>
  <c r="H132" i="25"/>
  <c r="H201" i="25" s="1"/>
  <c r="H137" i="25"/>
  <c r="H206" i="25" s="1"/>
  <c r="H133" i="25"/>
  <c r="H202" i="25" s="1"/>
  <c r="H131" i="25"/>
  <c r="H200" i="25" s="1"/>
  <c r="H135" i="25"/>
  <c r="H204" i="25" s="1"/>
  <c r="F89" i="36"/>
  <c r="H178" i="25"/>
  <c r="I168" i="25"/>
  <c r="H97" i="25"/>
  <c r="H88" i="25"/>
  <c r="H101" i="25" s="1"/>
  <c r="X20" i="32"/>
  <c r="J29" i="25"/>
  <c r="J78" i="25"/>
  <c r="AC17" i="39"/>
  <c r="AB40" i="39"/>
  <c r="Q115" i="25"/>
  <c r="AH29" i="43"/>
  <c r="AI21" i="43"/>
  <c r="N22" i="25"/>
  <c r="N18" i="25"/>
  <c r="N8" i="25"/>
  <c r="E99" i="36" s="1"/>
  <c r="E100" i="36" s="1"/>
  <c r="X34" i="32"/>
  <c r="AD22" i="32"/>
  <c r="AC22" i="32"/>
  <c r="C98" i="25"/>
  <c r="C88" i="25"/>
  <c r="AD75" i="27"/>
  <c r="O6" i="25"/>
  <c r="Y29" i="39"/>
  <c r="Z6" i="39"/>
  <c r="I65" i="25"/>
  <c r="I86" i="25"/>
  <c r="O117" i="25"/>
  <c r="F101" i="36" s="1"/>
  <c r="F128" i="36" s="1"/>
  <c r="AF31" i="43"/>
  <c r="F137" i="25"/>
  <c r="F206" i="25" s="1"/>
  <c r="F133" i="25"/>
  <c r="F202" i="25" s="1"/>
  <c r="F131" i="25"/>
  <c r="F200" i="25" s="1"/>
  <c r="F132" i="25"/>
  <c r="F201" i="25" s="1"/>
  <c r="H142" i="25"/>
  <c r="H211" i="25" s="1"/>
  <c r="H141" i="25"/>
  <c r="H210" i="25" s="1"/>
  <c r="H143" i="25"/>
  <c r="H212" i="25" s="1"/>
  <c r="H145" i="25"/>
  <c r="H214" i="25" s="1"/>
  <c r="K71" i="25"/>
  <c r="J70" i="25"/>
  <c r="AF10" i="32"/>
  <c r="AD13" i="37"/>
  <c r="AD36" i="37" s="1"/>
  <c r="AC36" i="37"/>
  <c r="O4" i="71"/>
  <c r="P15" i="71"/>
  <c r="P17" i="71" s="1"/>
  <c r="U48" i="40"/>
  <c r="U49" i="40"/>
  <c r="G159" i="25"/>
  <c r="G149" i="25"/>
  <c r="E65" i="25"/>
  <c r="E86" i="25"/>
  <c r="R16" i="71"/>
  <c r="R17" i="71" s="1"/>
  <c r="O6" i="71"/>
  <c r="K85" i="25"/>
  <c r="V45" i="41"/>
  <c r="W22" i="41"/>
  <c r="W45" i="41" s="1"/>
  <c r="AC46" i="39"/>
  <c r="AD23" i="39"/>
  <c r="AD46" i="39" s="1"/>
  <c r="G106" i="36"/>
  <c r="P118" i="25"/>
  <c r="G118" i="36" s="1"/>
  <c r="G97" i="25"/>
  <c r="J97" i="25"/>
  <c r="AC38" i="39"/>
  <c r="AD15" i="39"/>
  <c r="AD38" i="39" s="1"/>
  <c r="I97" i="25"/>
  <c r="AD11" i="37"/>
  <c r="AD34" i="37" s="1"/>
  <c r="AC34" i="37"/>
  <c r="AD80" i="27"/>
  <c r="AC80" i="27"/>
  <c r="AB32" i="32"/>
  <c r="AB26" i="32"/>
  <c r="AB38" i="32" s="1"/>
  <c r="Y32" i="32"/>
  <c r="Y26" i="32"/>
  <c r="Y38" i="32" s="1"/>
  <c r="AD63" i="26"/>
  <c r="AD50" i="32" s="1"/>
  <c r="AE63" i="26"/>
  <c r="W50" i="32"/>
  <c r="N9" i="25"/>
  <c r="E116" i="36" s="1"/>
  <c r="N21" i="25"/>
  <c r="N17" i="25"/>
  <c r="AH22" i="43"/>
  <c r="P116" i="25"/>
  <c r="AG30" i="43"/>
  <c r="AG23" i="43"/>
  <c r="G131" i="25"/>
  <c r="G200" i="25" s="1"/>
  <c r="G137" i="25"/>
  <c r="G206" i="25" s="1"/>
  <c r="G133" i="25"/>
  <c r="G202" i="25" s="1"/>
  <c r="G132" i="25"/>
  <c r="G201" i="25" s="1"/>
  <c r="G135" i="25"/>
  <c r="G204" i="25" s="1"/>
  <c r="E143" i="25"/>
  <c r="E212" i="25" s="1"/>
  <c r="E142" i="25"/>
  <c r="E211" i="25" s="1"/>
  <c r="E141" i="25"/>
  <c r="E210" i="25" s="1"/>
  <c r="H65" i="25"/>
  <c r="H86" i="25"/>
  <c r="F101" i="25"/>
  <c r="AD22" i="37"/>
  <c r="AD45" i="37" s="1"/>
  <c r="AC45" i="37"/>
  <c r="K66" i="25"/>
  <c r="V32" i="40"/>
  <c r="W9" i="40"/>
  <c r="W32" i="40" s="1"/>
  <c r="V30" i="40"/>
  <c r="W7" i="40"/>
  <c r="V25" i="40"/>
  <c r="AD14" i="37"/>
  <c r="AD37" i="37" s="1"/>
  <c r="AC37" i="37"/>
  <c r="G81" i="25"/>
  <c r="G91" i="25"/>
  <c r="G163" i="25"/>
  <c r="G182" i="25" s="1"/>
  <c r="I155" i="25"/>
  <c r="I174" i="25" s="1"/>
  <c r="I149" i="25"/>
  <c r="I159" i="25"/>
  <c r="J130" i="25"/>
  <c r="J136" i="25" s="1"/>
  <c r="J205" i="25" s="1"/>
  <c r="J140" i="25"/>
  <c r="J146" i="25"/>
  <c r="J215" i="25" s="1"/>
  <c r="J75" i="25"/>
  <c r="AD16" i="37"/>
  <c r="AD39" i="37" s="1"/>
  <c r="AC39" i="37"/>
  <c r="Z8" i="65"/>
  <c r="Y70" i="65"/>
  <c r="I91" i="25"/>
  <c r="I153" i="25"/>
  <c r="I172" i="25" s="1"/>
  <c r="I81" i="25"/>
  <c r="H81" i="25"/>
  <c r="H91" i="25"/>
  <c r="AE81" i="26"/>
  <c r="AG81" i="26" s="1"/>
  <c r="AH81" i="26" s="1"/>
  <c r="AI81" i="26" s="1"/>
  <c r="AJ81" i="26" s="1"/>
  <c r="AK81" i="26" s="1"/>
  <c r="AL81" i="26" s="1"/>
  <c r="AM81" i="26" s="1"/>
  <c r="AN81" i="26" s="1"/>
  <c r="AO81" i="26" s="1"/>
  <c r="AD81" i="26"/>
  <c r="AD12" i="37"/>
  <c r="AD35" i="37" s="1"/>
  <c r="AC35" i="37"/>
  <c r="H199" i="25"/>
  <c r="G209" i="25"/>
  <c r="AH58" i="27"/>
  <c r="AG70" i="27"/>
  <c r="L60" i="25"/>
  <c r="J134" i="25"/>
  <c r="J203" i="25" s="1"/>
  <c r="J144" i="25"/>
  <c r="J213" i="25" s="1"/>
  <c r="J92" i="25"/>
  <c r="J82" i="25"/>
  <c r="D92" i="25"/>
  <c r="D82" i="25"/>
  <c r="D117" i="36"/>
  <c r="Q22" i="71"/>
  <c r="V37" i="21"/>
  <c r="D11" i="71"/>
  <c r="F11" i="71" s="1"/>
  <c r="AC37" i="39"/>
  <c r="AD14" i="39"/>
  <c r="AD37" i="39" s="1"/>
  <c r="W80" i="26"/>
  <c r="W75" i="26"/>
  <c r="W87" i="26" s="1"/>
  <c r="H82" i="25"/>
  <c r="AC47" i="37"/>
  <c r="AD24" i="37"/>
  <c r="AD47" i="37" s="1"/>
  <c r="J68" i="25"/>
  <c r="J86" i="25" s="1"/>
  <c r="AF8" i="32"/>
  <c r="F86" i="25"/>
  <c r="F65" i="25"/>
  <c r="G134" i="25"/>
  <c r="G203" i="25" s="1"/>
  <c r="G143" i="25"/>
  <c r="G212" i="25" s="1"/>
  <c r="G142" i="25"/>
  <c r="G211" i="25" s="1"/>
  <c r="G141" i="25"/>
  <c r="G210" i="25" s="1"/>
  <c r="G145" i="25"/>
  <c r="G214" i="25" s="1"/>
  <c r="E137" i="25"/>
  <c r="E206" i="25" s="1"/>
  <c r="E133" i="25"/>
  <c r="E202" i="25" s="1"/>
  <c r="E132" i="25"/>
  <c r="E201" i="25" s="1"/>
  <c r="E131" i="25"/>
  <c r="E200" i="25" s="1"/>
  <c r="E126" i="36"/>
  <c r="AG68" i="27"/>
  <c r="AH56" i="27"/>
  <c r="L58" i="25"/>
  <c r="AG63" i="27"/>
  <c r="AC13" i="39"/>
  <c r="AB36" i="39"/>
  <c r="AD20" i="37"/>
  <c r="AD43" i="37" s="1"/>
  <c r="AC43" i="37"/>
  <c r="I141" i="25"/>
  <c r="I210" i="25" s="1"/>
  <c r="I143" i="25"/>
  <c r="I212" i="25" s="1"/>
  <c r="I142" i="25"/>
  <c r="I211" i="25" s="1"/>
  <c r="Z32" i="32"/>
  <c r="Z26" i="32"/>
  <c r="Z38" i="32" s="1"/>
  <c r="K31" i="25"/>
  <c r="AF43" i="32"/>
  <c r="AF68" i="26"/>
  <c r="AF80" i="26" s="1"/>
  <c r="AF63" i="26"/>
  <c r="S30" i="25"/>
  <c r="AN67" i="26"/>
  <c r="AO55" i="26"/>
  <c r="AN42" i="32"/>
  <c r="O7" i="25"/>
  <c r="S6" i="41"/>
  <c r="R29" i="41"/>
  <c r="F97" i="25"/>
  <c r="AD83" i="26"/>
  <c r="AE83" i="26"/>
  <c r="AG83" i="26" s="1"/>
  <c r="AH83" i="26" s="1"/>
  <c r="AI83" i="26" s="1"/>
  <c r="AJ83" i="26" s="1"/>
  <c r="AK83" i="26" s="1"/>
  <c r="AL83" i="26" s="1"/>
  <c r="AM83" i="26" s="1"/>
  <c r="AN83" i="26" s="1"/>
  <c r="AO83" i="26" s="1"/>
  <c r="J80" i="25"/>
  <c r="F142" i="25"/>
  <c r="F211" i="25" s="1"/>
  <c r="F141" i="25"/>
  <c r="F210" i="25" s="1"/>
  <c r="F143" i="25"/>
  <c r="F212" i="25" s="1"/>
  <c r="V34" i="38"/>
  <c r="W11" i="38"/>
  <c r="W34" i="38" s="1"/>
  <c r="I131" i="25"/>
  <c r="I200" i="25" s="1"/>
  <c r="I132" i="25"/>
  <c r="I201" i="25" s="1"/>
  <c r="I137" i="25"/>
  <c r="I206" i="25" s="1"/>
  <c r="I133" i="25"/>
  <c r="I202" i="25" s="1"/>
  <c r="I146" i="25"/>
  <c r="I215" i="25" s="1"/>
  <c r="AB48" i="39"/>
  <c r="AB49" i="39"/>
  <c r="AG69" i="27"/>
  <c r="AH57" i="27"/>
  <c r="L59" i="25"/>
  <c r="L85" i="25" s="1"/>
  <c r="AC80" i="26"/>
  <c r="AC75" i="26"/>
  <c r="W16" i="38"/>
  <c r="W39" i="38" s="1"/>
  <c r="V39" i="38"/>
  <c r="D140" i="25"/>
  <c r="D130" i="25"/>
  <c r="D136" i="25"/>
  <c r="D205" i="25" s="1"/>
  <c r="D75" i="25"/>
  <c r="T37" i="21"/>
  <c r="U39" i="21"/>
  <c r="AA32" i="32"/>
  <c r="AA26" i="32"/>
  <c r="AA38" i="32" s="1"/>
  <c r="C140" i="25"/>
  <c r="C130" i="25"/>
  <c r="C146" i="25"/>
  <c r="C215" i="25" s="1"/>
  <c r="AH74" i="26"/>
  <c r="AH49" i="32"/>
  <c r="M37" i="25"/>
  <c r="AI62" i="26"/>
  <c r="V34" i="40"/>
  <c r="W11" i="40"/>
  <c r="W34" i="40" s="1"/>
  <c r="E12" i="71"/>
  <c r="R24" i="71"/>
  <c r="R42" i="71" s="1"/>
  <c r="AN72" i="26"/>
  <c r="AN47" i="32"/>
  <c r="S35" i="25"/>
  <c r="AO60" i="26"/>
  <c r="AL61" i="27"/>
  <c r="AK73" i="27"/>
  <c r="P63" i="25"/>
  <c r="AC25" i="39"/>
  <c r="AD7" i="39"/>
  <c r="AC30" i="39"/>
  <c r="K79" i="25"/>
  <c r="K56" i="25"/>
  <c r="H149" i="25"/>
  <c r="H154" i="25" s="1"/>
  <c r="H173" i="25" s="1"/>
  <c r="H155" i="25"/>
  <c r="H174" i="25" s="1"/>
  <c r="H159" i="25"/>
  <c r="H164" i="25" s="1"/>
  <c r="H183" i="25" s="1"/>
  <c r="AD15" i="37"/>
  <c r="AD38" i="37" s="1"/>
  <c r="AC38" i="37"/>
  <c r="AK55" i="27"/>
  <c r="AJ67" i="27"/>
  <c r="O57" i="25"/>
  <c r="D84" i="25"/>
  <c r="E138" i="36"/>
  <c r="E127" i="36"/>
  <c r="AD68" i="26"/>
  <c r="X80" i="26"/>
  <c r="AD80" i="26" s="1"/>
  <c r="X75" i="26"/>
  <c r="AE68" i="26"/>
  <c r="AG20" i="43"/>
  <c r="AF28" i="43"/>
  <c r="K32" i="25"/>
  <c r="K84" i="25" s="1"/>
  <c r="AG57" i="26"/>
  <c r="AF44" i="32"/>
  <c r="AF69" i="26"/>
  <c r="AF81" i="26" s="1"/>
  <c r="I90" i="36"/>
  <c r="AD55" i="32"/>
  <c r="AC55" i="32"/>
  <c r="AE55" i="32" s="1"/>
  <c r="AF55" i="32" s="1"/>
  <c r="AG55" i="32" s="1"/>
  <c r="AH55" i="32" s="1"/>
  <c r="AI55" i="32" s="1"/>
  <c r="AJ55" i="32" s="1"/>
  <c r="AK55" i="32" s="1"/>
  <c r="AL55" i="32" s="1"/>
  <c r="AM55" i="32" s="1"/>
  <c r="AN55" i="32" s="1"/>
  <c r="AO55" i="32" s="1"/>
  <c r="F82" i="25"/>
  <c r="F95" i="25" s="1"/>
  <c r="AM62" i="27"/>
  <c r="AL74" i="27"/>
  <c r="Q64" i="25"/>
  <c r="AF46" i="32"/>
  <c r="AF71" i="26"/>
  <c r="AF83" i="26" s="1"/>
  <c r="K34" i="25"/>
  <c r="AG59" i="26"/>
  <c r="W21" i="38"/>
  <c r="W44" i="38" s="1"/>
  <c r="V44" i="38"/>
  <c r="H75" i="25"/>
  <c r="P25" i="71"/>
  <c r="P40" i="71"/>
  <c r="Q3" i="25"/>
  <c r="AA29" i="37"/>
  <c r="AB6" i="37"/>
  <c r="C144" i="25"/>
  <c r="C213" i="25" s="1"/>
  <c r="C92" i="25"/>
  <c r="J135" i="25"/>
  <c r="J204" i="25" s="1"/>
  <c r="J145" i="25"/>
  <c r="J214" i="25" s="1"/>
  <c r="J98" i="25"/>
  <c r="J88" i="25"/>
  <c r="D105" i="36"/>
  <c r="E136" i="25"/>
  <c r="E205" i="25" s="1"/>
  <c r="M123" i="25"/>
  <c r="D108" i="36" s="1"/>
  <c r="AE11" i="64"/>
  <c r="AD12" i="64"/>
  <c r="C87" i="25"/>
  <c r="I134" i="25"/>
  <c r="I203" i="25" s="1"/>
  <c r="E98" i="25"/>
  <c r="E135" i="25"/>
  <c r="E204" i="25" s="1"/>
  <c r="E145" i="25"/>
  <c r="E214" i="25" s="1"/>
  <c r="E88" i="25"/>
  <c r="E101" i="25" s="1"/>
  <c r="V35" i="38"/>
  <c r="W12" i="38"/>
  <c r="W35" i="38" s="1"/>
  <c r="I75" i="25"/>
  <c r="I101" i="25" s="1"/>
  <c r="D98" i="25"/>
  <c r="G86" i="25"/>
  <c r="G65" i="25"/>
  <c r="F159" i="25"/>
  <c r="F163" i="25" s="1"/>
  <c r="F182" i="25" s="1"/>
  <c r="F149" i="25"/>
  <c r="AC32" i="37"/>
  <c r="AD9" i="37"/>
  <c r="AD32" i="37" s="1"/>
  <c r="D104" i="36"/>
  <c r="AK19" i="43"/>
  <c r="AJ27" i="43"/>
  <c r="S112" i="25"/>
  <c r="D70" i="25"/>
  <c r="AC10" i="32"/>
  <c r="AD10" i="32"/>
  <c r="AC75" i="27"/>
  <c r="F144" i="25"/>
  <c r="F213" i="25" s="1"/>
  <c r="H144" i="25"/>
  <c r="H213" i="25" s="1"/>
  <c r="AE14" i="32"/>
  <c r="K67" i="25"/>
  <c r="C29" i="25"/>
  <c r="C75" i="25" s="1"/>
  <c r="C78" i="25"/>
  <c r="C82" i="25" s="1"/>
  <c r="E149" i="25"/>
  <c r="E153" i="25" s="1"/>
  <c r="E172" i="25" s="1"/>
  <c r="E165" i="25"/>
  <c r="E184" i="25" s="1"/>
  <c r="E159" i="25"/>
  <c r="F146" i="25"/>
  <c r="F215" i="25" s="1"/>
  <c r="H136" i="25"/>
  <c r="H205" i="25" s="1"/>
  <c r="F88" i="36"/>
  <c r="P16" i="25"/>
  <c r="P20" i="25"/>
  <c r="E146" i="25"/>
  <c r="E215" i="25" s="1"/>
  <c r="W22" i="38" l="1"/>
  <c r="W45" i="38" s="1"/>
  <c r="V45" i="38"/>
  <c r="AC32" i="39"/>
  <c r="AD9" i="39"/>
  <c r="AD32" i="39" s="1"/>
  <c r="V38" i="41"/>
  <c r="W15" i="41"/>
  <c r="W38" i="41" s="1"/>
  <c r="W23" i="41"/>
  <c r="W46" i="41" s="1"/>
  <c r="V46" i="41"/>
  <c r="AN45" i="32"/>
  <c r="S33" i="25"/>
  <c r="AN70" i="26"/>
  <c r="AO58" i="26"/>
  <c r="W15" i="38"/>
  <c r="W38" i="38" s="1"/>
  <c r="V38" i="38"/>
  <c r="V37" i="41"/>
  <c r="W14" i="41"/>
  <c r="W37" i="41" s="1"/>
  <c r="I95" i="25"/>
  <c r="V18" i="38"/>
  <c r="U41" i="38"/>
  <c r="AN61" i="26"/>
  <c r="AM73" i="26"/>
  <c r="AM48" i="32"/>
  <c r="R36" i="25"/>
  <c r="W13" i="38"/>
  <c r="W36" i="38" s="1"/>
  <c r="V36" i="38"/>
  <c r="AB31" i="37"/>
  <c r="AC8" i="37"/>
  <c r="V39" i="40"/>
  <c r="W16" i="40"/>
  <c r="W39" i="40" s="1"/>
  <c r="V31" i="38"/>
  <c r="V26" i="38"/>
  <c r="W8" i="38"/>
  <c r="V42" i="38"/>
  <c r="W19" i="38"/>
  <c r="W42" i="38" s="1"/>
  <c r="AM60" i="27"/>
  <c r="Q62" i="25"/>
  <c r="AL72" i="27"/>
  <c r="V32" i="41"/>
  <c r="W9" i="41"/>
  <c r="W32" i="41" s="1"/>
  <c r="E155" i="25"/>
  <c r="E174" i="25" s="1"/>
  <c r="J101" i="25"/>
  <c r="H153" i="25"/>
  <c r="H172" i="25" s="1"/>
  <c r="AB47" i="39"/>
  <c r="AC24" i="39"/>
  <c r="U49" i="38"/>
  <c r="U50" i="38"/>
  <c r="AC23" i="37"/>
  <c r="AB46" i="37"/>
  <c r="V43" i="41"/>
  <c r="W20" i="41"/>
  <c r="W43" i="41" s="1"/>
  <c r="W16" i="41"/>
  <c r="W39" i="41" s="1"/>
  <c r="V39" i="41"/>
  <c r="V33" i="38"/>
  <c r="W10" i="38"/>
  <c r="W33" i="38" s="1"/>
  <c r="V44" i="40"/>
  <c r="W21" i="40"/>
  <c r="W44" i="40" s="1"/>
  <c r="U36" i="40"/>
  <c r="V13" i="40"/>
  <c r="AI57" i="27"/>
  <c r="AH69" i="27"/>
  <c r="M59" i="25"/>
  <c r="I162" i="25"/>
  <c r="I181" i="25" s="1"/>
  <c r="I160" i="25"/>
  <c r="I179" i="25" s="1"/>
  <c r="I161" i="25"/>
  <c r="I180" i="25" s="1"/>
  <c r="G152" i="25"/>
  <c r="G171" i="25" s="1"/>
  <c r="G150" i="25"/>
  <c r="G169" i="25" s="1"/>
  <c r="G151" i="25"/>
  <c r="G170" i="25" s="1"/>
  <c r="G156" i="25"/>
  <c r="G175" i="25" s="1"/>
  <c r="G154" i="25"/>
  <c r="G173" i="25" s="1"/>
  <c r="K70" i="25"/>
  <c r="H106" i="36"/>
  <c r="Q118" i="25"/>
  <c r="H118" i="36" s="1"/>
  <c r="F138" i="36"/>
  <c r="J90" i="36"/>
  <c r="X87" i="26"/>
  <c r="AD75" i="26"/>
  <c r="AE75" i="26"/>
  <c r="AL55" i="27"/>
  <c r="AK67" i="27"/>
  <c r="P57" i="25"/>
  <c r="K92" i="25"/>
  <c r="C142" i="25"/>
  <c r="C211" i="25" s="1"/>
  <c r="C141" i="25"/>
  <c r="C210" i="25" s="1"/>
  <c r="C143" i="25"/>
  <c r="C212" i="25" s="1"/>
  <c r="D132" i="25"/>
  <c r="D201" i="25" s="1"/>
  <c r="D137" i="25"/>
  <c r="D206" i="25" s="1"/>
  <c r="D133" i="25"/>
  <c r="D202" i="25" s="1"/>
  <c r="D131" i="25"/>
  <c r="D200" i="25" s="1"/>
  <c r="D135" i="25"/>
  <c r="D204" i="25" s="1"/>
  <c r="F164" i="25"/>
  <c r="F183" i="25" s="1"/>
  <c r="L56" i="25"/>
  <c r="L79" i="25"/>
  <c r="J95" i="25"/>
  <c r="I199" i="25"/>
  <c r="H209" i="25"/>
  <c r="I156" i="25"/>
  <c r="I175" i="25" s="1"/>
  <c r="I152" i="25"/>
  <c r="I171" i="25" s="1"/>
  <c r="I150" i="25"/>
  <c r="I169" i="25" s="1"/>
  <c r="I151" i="25"/>
  <c r="I170" i="25" s="1"/>
  <c r="K80" i="25"/>
  <c r="G162" i="25"/>
  <c r="G181" i="25" s="1"/>
  <c r="G161" i="25"/>
  <c r="G180" i="25" s="1"/>
  <c r="G160" i="25"/>
  <c r="G179" i="25" s="1"/>
  <c r="G164" i="25"/>
  <c r="G183" i="25" s="1"/>
  <c r="R41" i="71"/>
  <c r="R25" i="71"/>
  <c r="C131" i="25"/>
  <c r="C200" i="25" s="1"/>
  <c r="C137" i="25"/>
  <c r="C206" i="25" s="1"/>
  <c r="C133" i="25"/>
  <c r="C202" i="25" s="1"/>
  <c r="C132" i="25"/>
  <c r="C201" i="25" s="1"/>
  <c r="F151" i="25"/>
  <c r="F170" i="25" s="1"/>
  <c r="F156" i="25"/>
  <c r="F175" i="25" s="1"/>
  <c r="F150" i="25"/>
  <c r="F169" i="25" s="1"/>
  <c r="F152" i="25"/>
  <c r="F171" i="25" s="1"/>
  <c r="C134" i="25"/>
  <c r="C203" i="25" s="1"/>
  <c r="R64" i="25"/>
  <c r="AN62" i="27"/>
  <c r="AM74" i="27"/>
  <c r="AG44" i="32"/>
  <c r="L32" i="25"/>
  <c r="AG69" i="26"/>
  <c r="AH57" i="26"/>
  <c r="D143" i="25"/>
  <c r="D212" i="25" s="1"/>
  <c r="D142" i="25"/>
  <c r="D211" i="25" s="1"/>
  <c r="D141" i="25"/>
  <c r="D210" i="25" s="1"/>
  <c r="D145" i="25"/>
  <c r="D214" i="25" s="1"/>
  <c r="M58" i="25"/>
  <c r="AH68" i="27"/>
  <c r="AI56" i="27"/>
  <c r="AH63" i="27"/>
  <c r="Q40" i="71"/>
  <c r="Q25" i="71"/>
  <c r="I163" i="25"/>
  <c r="I182" i="25" s="1"/>
  <c r="V48" i="40"/>
  <c r="V49" i="40"/>
  <c r="E117" i="36"/>
  <c r="O17" i="25"/>
  <c r="O9" i="25"/>
  <c r="F116" i="36" s="1"/>
  <c r="O21" i="25"/>
  <c r="AC34" i="32"/>
  <c r="AD34" i="32"/>
  <c r="D91" i="25"/>
  <c r="D81" i="25"/>
  <c r="G89" i="36"/>
  <c r="E160" i="25"/>
  <c r="E179" i="25" s="1"/>
  <c r="E161" i="25"/>
  <c r="E180" i="25" s="1"/>
  <c r="E162" i="25"/>
  <c r="E181" i="25" s="1"/>
  <c r="E164" i="25"/>
  <c r="E183" i="25" s="1"/>
  <c r="AK27" i="43"/>
  <c r="T112" i="25"/>
  <c r="F165" i="25"/>
  <c r="F184" i="25" s="1"/>
  <c r="AD30" i="39"/>
  <c r="AD25" i="39"/>
  <c r="J65" i="25"/>
  <c r="J74" i="25" s="1"/>
  <c r="P7" i="25"/>
  <c r="T6" i="41"/>
  <c r="S29" i="41"/>
  <c r="AF75" i="26"/>
  <c r="AF87" i="26" s="1"/>
  <c r="AF50" i="32"/>
  <c r="AG75" i="27"/>
  <c r="H95" i="25"/>
  <c r="I165" i="25"/>
  <c r="I184" i="25" s="1"/>
  <c r="W25" i="40"/>
  <c r="W30" i="40"/>
  <c r="AI22" i="43"/>
  <c r="AH30" i="43"/>
  <c r="Q116" i="25"/>
  <c r="AH23" i="43"/>
  <c r="D149" i="25"/>
  <c r="D153" i="25" s="1"/>
  <c r="D172" i="25" s="1"/>
  <c r="D159" i="25"/>
  <c r="F153" i="25"/>
  <c r="F172" i="25" s="1"/>
  <c r="G88" i="36"/>
  <c r="AG71" i="26"/>
  <c r="L34" i="25"/>
  <c r="AH59" i="26"/>
  <c r="AG46" i="32"/>
  <c r="H160" i="25"/>
  <c r="H179" i="25" s="1"/>
  <c r="H162" i="25"/>
  <c r="H181" i="25" s="1"/>
  <c r="H161" i="25"/>
  <c r="H180" i="25" s="1"/>
  <c r="J81" i="25"/>
  <c r="J93" i="25"/>
  <c r="O8" i="25"/>
  <c r="F99" i="36" s="1"/>
  <c r="F100" i="36" s="1"/>
  <c r="O18" i="25"/>
  <c r="O22" i="25"/>
  <c r="AD87" i="26"/>
  <c r="E104" i="36"/>
  <c r="E99" i="25"/>
  <c r="E87" i="25"/>
  <c r="C101" i="25"/>
  <c r="AD17" i="39"/>
  <c r="AD40" i="39" s="1"/>
  <c r="AC40" i="39"/>
  <c r="I178" i="25"/>
  <c r="J168" i="25"/>
  <c r="M61" i="25"/>
  <c r="AI59" i="27"/>
  <c r="AH71" i="27"/>
  <c r="C95" i="25"/>
  <c r="K140" i="25"/>
  <c r="K144" i="25" s="1"/>
  <c r="K213" i="25" s="1"/>
  <c r="K130" i="25"/>
  <c r="K136" i="25" s="1"/>
  <c r="K205" i="25" s="1"/>
  <c r="AC48" i="39"/>
  <c r="AC49" i="39"/>
  <c r="E156" i="25"/>
  <c r="E175" i="25" s="1"/>
  <c r="E152" i="25"/>
  <c r="E171" i="25" s="1"/>
  <c r="E151" i="25"/>
  <c r="E170" i="25" s="1"/>
  <c r="E150" i="25"/>
  <c r="E169" i="25" s="1"/>
  <c r="E154" i="25"/>
  <c r="E173" i="25" s="1"/>
  <c r="F155" i="25"/>
  <c r="F174" i="25" s="1"/>
  <c r="D97" i="25"/>
  <c r="D88" i="25"/>
  <c r="D101" i="25" s="1"/>
  <c r="F74" i="25"/>
  <c r="F94" i="25" s="1"/>
  <c r="F93" i="25"/>
  <c r="AE80" i="26"/>
  <c r="AG56" i="26" s="1"/>
  <c r="D95" i="25"/>
  <c r="J143" i="25"/>
  <c r="J212" i="25" s="1"/>
  <c r="J141" i="25"/>
  <c r="J210" i="25" s="1"/>
  <c r="J142" i="25"/>
  <c r="J211" i="25" s="1"/>
  <c r="H99" i="25"/>
  <c r="H87" i="25"/>
  <c r="E105" i="36"/>
  <c r="E74" i="25"/>
  <c r="E93" i="25"/>
  <c r="C135" i="25"/>
  <c r="C204" i="25" s="1"/>
  <c r="J91" i="25"/>
  <c r="AC14" i="32"/>
  <c r="T35" i="25"/>
  <c r="AO72" i="26"/>
  <c r="AO47" i="32"/>
  <c r="P6" i="25"/>
  <c r="Z29" i="39"/>
  <c r="AA6" i="39"/>
  <c r="C91" i="25"/>
  <c r="C81" i="25"/>
  <c r="N123" i="25"/>
  <c r="E108" i="36" s="1"/>
  <c r="AF11" i="64"/>
  <c r="AE12" i="64"/>
  <c r="H165" i="25"/>
  <c r="H184" i="25" s="1"/>
  <c r="K29" i="25"/>
  <c r="K97" i="25" s="1"/>
  <c r="K78" i="25"/>
  <c r="K82" i="25" s="1"/>
  <c r="F99" i="25"/>
  <c r="F87" i="25"/>
  <c r="D144" i="25"/>
  <c r="D213" i="25" s="1"/>
  <c r="G153" i="25"/>
  <c r="G172" i="25" s="1"/>
  <c r="H74" i="25"/>
  <c r="H94" i="25" s="1"/>
  <c r="H93" i="25"/>
  <c r="I164" i="25"/>
  <c r="I183" i="25" s="1"/>
  <c r="K98" i="25"/>
  <c r="K88" i="25"/>
  <c r="G165" i="25"/>
  <c r="G184" i="25" s="1"/>
  <c r="I99" i="25"/>
  <c r="I87" i="25"/>
  <c r="I100" i="25" s="1"/>
  <c r="C145" i="25"/>
  <c r="C214" i="25" s="1"/>
  <c r="AI29" i="43"/>
  <c r="AJ21" i="43"/>
  <c r="R115" i="25"/>
  <c r="J149" i="25"/>
  <c r="J155" i="25" s="1"/>
  <c r="J174" i="25" s="1"/>
  <c r="J159" i="25"/>
  <c r="J163" i="25" s="1"/>
  <c r="J182" i="25" s="1"/>
  <c r="E94" i="25"/>
  <c r="AI74" i="26"/>
  <c r="N37" i="25"/>
  <c r="AI49" i="32"/>
  <c r="AJ62" i="26"/>
  <c r="J87" i="25"/>
  <c r="J99" i="25"/>
  <c r="P117" i="25"/>
  <c r="G101" i="36" s="1"/>
  <c r="G128" i="36" s="1"/>
  <c r="AG31" i="43"/>
  <c r="F162" i="25"/>
  <c r="F181" i="25" s="1"/>
  <c r="F160" i="25"/>
  <c r="F179" i="25" s="1"/>
  <c r="F161" i="25"/>
  <c r="F180" i="25" s="1"/>
  <c r="R3" i="25"/>
  <c r="AB29" i="37"/>
  <c r="AC6" i="37"/>
  <c r="G93" i="25"/>
  <c r="G74" i="25"/>
  <c r="G94" i="25" s="1"/>
  <c r="Q20" i="25"/>
  <c r="Q16" i="25"/>
  <c r="F126" i="36"/>
  <c r="C74" i="25"/>
  <c r="C100" i="25" s="1"/>
  <c r="C149" i="25"/>
  <c r="C155" i="25"/>
  <c r="C174" i="25" s="1"/>
  <c r="C159" i="25"/>
  <c r="C163" i="25" s="1"/>
  <c r="C182" i="25" s="1"/>
  <c r="G87" i="25"/>
  <c r="G99" i="25"/>
  <c r="D141" i="36"/>
  <c r="D150" i="36"/>
  <c r="D147" i="36"/>
  <c r="D144" i="36"/>
  <c r="D174" i="36"/>
  <c r="D235" i="36"/>
  <c r="D296" i="36"/>
  <c r="AH20" i="43"/>
  <c r="AG28" i="43"/>
  <c r="H150" i="25"/>
  <c r="H169" i="25" s="1"/>
  <c r="H152" i="25"/>
  <c r="H171" i="25" s="1"/>
  <c r="H156" i="25"/>
  <c r="H175" i="25" s="1"/>
  <c r="H151" i="25"/>
  <c r="H170" i="25" s="1"/>
  <c r="Q63" i="25"/>
  <c r="AM61" i="27"/>
  <c r="AL73" i="27"/>
  <c r="C136" i="25"/>
  <c r="C205" i="25" s="1"/>
  <c r="D146" i="25"/>
  <c r="D215" i="25" s="1"/>
  <c r="L98" i="25"/>
  <c r="F154" i="25"/>
  <c r="F173" i="25" s="1"/>
  <c r="AO67" i="26"/>
  <c r="T30" i="25"/>
  <c r="AO42" i="32"/>
  <c r="AD13" i="39"/>
  <c r="AD36" i="39" s="1"/>
  <c r="AC36" i="39"/>
  <c r="K68" i="25"/>
  <c r="K86" i="25" s="1"/>
  <c r="D134" i="25"/>
  <c r="D203" i="25" s="1"/>
  <c r="AI58" i="27"/>
  <c r="AH70" i="27"/>
  <c r="M60" i="25"/>
  <c r="H163" i="25"/>
  <c r="H182" i="25" s="1"/>
  <c r="AA8" i="65"/>
  <c r="Z70" i="65"/>
  <c r="J131" i="25"/>
  <c r="J200" i="25" s="1"/>
  <c r="J132" i="25"/>
  <c r="J201" i="25" s="1"/>
  <c r="J133" i="25"/>
  <c r="J202" i="25" s="1"/>
  <c r="J137" i="25"/>
  <c r="J206" i="25" s="1"/>
  <c r="AF14" i="32"/>
  <c r="I154" i="25"/>
  <c r="I173" i="25" s="1"/>
  <c r="G155" i="25"/>
  <c r="G174" i="25" s="1"/>
  <c r="I93" i="25"/>
  <c r="I74" i="25"/>
  <c r="I94" i="25" s="1"/>
  <c r="AC20" i="32"/>
  <c r="AC26" i="32" s="1"/>
  <c r="X26" i="32"/>
  <c r="AD20" i="32"/>
  <c r="X32" i="32"/>
  <c r="E163" i="25"/>
  <c r="E182" i="25" s="1"/>
  <c r="D65" i="25"/>
  <c r="D86" i="25"/>
  <c r="K135" i="25" l="1"/>
  <c r="K204" i="25" s="1"/>
  <c r="W26" i="38"/>
  <c r="W31" i="38"/>
  <c r="AC47" i="39"/>
  <c r="AD24" i="39"/>
  <c r="AD47" i="39" s="1"/>
  <c r="AN48" i="32"/>
  <c r="AO61" i="26"/>
  <c r="S36" i="25"/>
  <c r="AN73" i="26"/>
  <c r="AO70" i="26"/>
  <c r="AO45" i="32"/>
  <c r="T33" i="25"/>
  <c r="E100" i="25"/>
  <c r="J94" i="25"/>
  <c r="AM72" i="27"/>
  <c r="AN60" i="27"/>
  <c r="R62" i="25"/>
  <c r="AC31" i="37"/>
  <c r="AD8" i="37"/>
  <c r="AD31" i="37" s="1"/>
  <c r="AC46" i="37"/>
  <c r="AD23" i="37"/>
  <c r="AD46" i="37" s="1"/>
  <c r="V50" i="38"/>
  <c r="V49" i="38"/>
  <c r="W13" i="40"/>
  <c r="W36" i="40" s="1"/>
  <c r="V36" i="40"/>
  <c r="V41" i="38"/>
  <c r="W18" i="38"/>
  <c r="W41" i="38" s="1"/>
  <c r="G100" i="25"/>
  <c r="J100" i="25"/>
  <c r="K145" i="25"/>
  <c r="K214" i="25" s="1"/>
  <c r="D155" i="25"/>
  <c r="D174" i="25" s="1"/>
  <c r="D99" i="25"/>
  <c r="D87" i="25"/>
  <c r="K87" i="25"/>
  <c r="AN61" i="27"/>
  <c r="AM73" i="27"/>
  <c r="R63" i="25"/>
  <c r="K149" i="25"/>
  <c r="K153" i="25" s="1"/>
  <c r="K172" i="25" s="1"/>
  <c r="K159" i="25"/>
  <c r="K163" i="25" s="1"/>
  <c r="K182" i="25" s="1"/>
  <c r="AG43" i="32"/>
  <c r="AH56" i="26"/>
  <c r="L31" i="25"/>
  <c r="AG68" i="26"/>
  <c r="AG80" i="26" s="1"/>
  <c r="AH80" i="26" s="1"/>
  <c r="AI80" i="26" s="1"/>
  <c r="AJ80" i="26" s="1"/>
  <c r="AK80" i="26" s="1"/>
  <c r="AL80" i="26" s="1"/>
  <c r="AM80" i="26" s="1"/>
  <c r="AN80" i="26" s="1"/>
  <c r="AO80" i="26" s="1"/>
  <c r="AG63" i="26"/>
  <c r="Q117" i="25"/>
  <c r="H101" i="36" s="1"/>
  <c r="H128" i="36" s="1"/>
  <c r="AH31" i="43"/>
  <c r="AD49" i="39"/>
  <c r="AD48" i="39"/>
  <c r="D74" i="25"/>
  <c r="D93" i="25"/>
  <c r="H100" i="25"/>
  <c r="AI59" i="26"/>
  <c r="AH46" i="32"/>
  <c r="AH71" i="26"/>
  <c r="M34" i="25"/>
  <c r="D162" i="25"/>
  <c r="D181" i="25" s="1"/>
  <c r="D161" i="25"/>
  <c r="D180" i="25" s="1"/>
  <c r="D160" i="25"/>
  <c r="D179" i="25" s="1"/>
  <c r="AI68" i="27"/>
  <c r="N58" i="25"/>
  <c r="AJ56" i="27"/>
  <c r="AI63" i="27"/>
  <c r="R46" i="71"/>
  <c r="Q6" i="25"/>
  <c r="AA29" i="39"/>
  <c r="AB6" i="39"/>
  <c r="AB8" i="65"/>
  <c r="AB70" i="65" s="1"/>
  <c r="AA70" i="65"/>
  <c r="J165" i="25"/>
  <c r="J184" i="25" s="1"/>
  <c r="AG11" i="64"/>
  <c r="O123" i="25"/>
  <c r="F108" i="36" s="1"/>
  <c r="AF12" i="64"/>
  <c r="J153" i="25"/>
  <c r="J172" i="25" s="1"/>
  <c r="D151" i="25"/>
  <c r="D170" i="25" s="1"/>
  <c r="D156" i="25"/>
  <c r="D175" i="25" s="1"/>
  <c r="D152" i="25"/>
  <c r="D171" i="25" s="1"/>
  <c r="D150" i="25"/>
  <c r="D169" i="25" s="1"/>
  <c r="R116" i="25"/>
  <c r="AJ22" i="43"/>
  <c r="AI30" i="43"/>
  <c r="AI23" i="43"/>
  <c r="K90" i="36"/>
  <c r="G138" i="36"/>
  <c r="AH75" i="27"/>
  <c r="L84" i="25"/>
  <c r="K65" i="25"/>
  <c r="K74" i="25" s="1"/>
  <c r="J199" i="25"/>
  <c r="I209" i="25"/>
  <c r="Q57" i="25"/>
  <c r="AL67" i="27"/>
  <c r="AM55" i="27"/>
  <c r="R20" i="25"/>
  <c r="R16" i="25"/>
  <c r="AK62" i="26"/>
  <c r="O37" i="25"/>
  <c r="AJ49" i="32"/>
  <c r="AJ74" i="26"/>
  <c r="P9" i="25"/>
  <c r="G116" i="36" s="1"/>
  <c r="P21" i="25"/>
  <c r="P17" i="25"/>
  <c r="AI71" i="27"/>
  <c r="N61" i="25"/>
  <c r="AJ59" i="27"/>
  <c r="D260" i="36"/>
  <c r="D257" i="36"/>
  <c r="D254" i="36"/>
  <c r="D263" i="36"/>
  <c r="C162" i="25"/>
  <c r="C181" i="25" s="1"/>
  <c r="C160" i="25"/>
  <c r="C179" i="25" s="1"/>
  <c r="C161" i="25"/>
  <c r="C180" i="25" s="1"/>
  <c r="C164" i="25"/>
  <c r="C183" i="25" s="1"/>
  <c r="E141" i="36"/>
  <c r="E150" i="36"/>
  <c r="E147" i="36"/>
  <c r="E144" i="36"/>
  <c r="E174" i="36"/>
  <c r="E235" i="36"/>
  <c r="E296" i="36"/>
  <c r="D164" i="25"/>
  <c r="D183" i="25" s="1"/>
  <c r="K137" i="25"/>
  <c r="K206" i="25" s="1"/>
  <c r="K133" i="25"/>
  <c r="K202" i="25" s="1"/>
  <c r="K132" i="25"/>
  <c r="K201" i="25" s="1"/>
  <c r="K131" i="25"/>
  <c r="K200" i="25" s="1"/>
  <c r="D165" i="25"/>
  <c r="D184" i="25" s="1"/>
  <c r="M56" i="25"/>
  <c r="M79" i="25"/>
  <c r="K93" i="25"/>
  <c r="K81" i="25"/>
  <c r="AC29" i="37"/>
  <c r="S3" i="25"/>
  <c r="AD6" i="37"/>
  <c r="F104" i="36"/>
  <c r="D196" i="36"/>
  <c r="D202" i="36"/>
  <c r="D199" i="36"/>
  <c r="D193" i="36"/>
  <c r="F100" i="25"/>
  <c r="D154" i="25"/>
  <c r="D173" i="25" s="1"/>
  <c r="K143" i="25"/>
  <c r="K212" i="25" s="1"/>
  <c r="K141" i="25"/>
  <c r="K210" i="25" s="1"/>
  <c r="K142" i="25"/>
  <c r="K211" i="25" s="1"/>
  <c r="K168" i="25"/>
  <c r="J178" i="25"/>
  <c r="W49" i="40"/>
  <c r="W48" i="40"/>
  <c r="Q7" i="25"/>
  <c r="U6" i="41"/>
  <c r="T29" i="41"/>
  <c r="D94" i="25"/>
  <c r="F105" i="36"/>
  <c r="L92" i="25"/>
  <c r="K134" i="25"/>
  <c r="K203" i="25" s="1"/>
  <c r="M85" i="25"/>
  <c r="AI20" i="43"/>
  <c r="AH28" i="43"/>
  <c r="M32" i="25"/>
  <c r="AI57" i="26"/>
  <c r="AH44" i="32"/>
  <c r="AH69" i="26"/>
  <c r="J156" i="25"/>
  <c r="J175" i="25" s="1"/>
  <c r="J152" i="25"/>
  <c r="J171" i="25" s="1"/>
  <c r="J150" i="25"/>
  <c r="J169" i="25" s="1"/>
  <c r="J151" i="25"/>
  <c r="J170" i="25" s="1"/>
  <c r="J154" i="25"/>
  <c r="J173" i="25" s="1"/>
  <c r="D321" i="36"/>
  <c r="D318" i="36"/>
  <c r="D324" i="36"/>
  <c r="D315" i="36"/>
  <c r="AD26" i="32"/>
  <c r="X38" i="32"/>
  <c r="AC38" i="32" s="1"/>
  <c r="H88" i="36"/>
  <c r="AI70" i="27"/>
  <c r="AJ58" i="27"/>
  <c r="N60" i="25"/>
  <c r="C156" i="25"/>
  <c r="C175" i="25" s="1"/>
  <c r="C152" i="25"/>
  <c r="C171" i="25" s="1"/>
  <c r="C150" i="25"/>
  <c r="C169" i="25" s="1"/>
  <c r="C151" i="25"/>
  <c r="C170" i="25" s="1"/>
  <c r="C154" i="25"/>
  <c r="C173" i="25" s="1"/>
  <c r="H89" i="36"/>
  <c r="S115" i="25"/>
  <c r="AJ29" i="43"/>
  <c r="AK21" i="43"/>
  <c r="C94" i="25"/>
  <c r="K75" i="25"/>
  <c r="K95" i="25" s="1"/>
  <c r="P8" i="25"/>
  <c r="G99" i="36" s="1"/>
  <c r="G100" i="36" s="1"/>
  <c r="P18" i="25"/>
  <c r="P22" i="25"/>
  <c r="D163" i="25"/>
  <c r="D182" i="25" s="1"/>
  <c r="AN74" i="27"/>
  <c r="S64" i="25"/>
  <c r="AO62" i="27"/>
  <c r="L130" i="25"/>
  <c r="L134" i="25" s="1"/>
  <c r="L203" i="25" s="1"/>
  <c r="L140" i="25"/>
  <c r="L144" i="25" s="1"/>
  <c r="L213" i="25" s="1"/>
  <c r="F127" i="36"/>
  <c r="J162" i="25"/>
  <c r="J181" i="25" s="1"/>
  <c r="J160" i="25"/>
  <c r="J179" i="25" s="1"/>
  <c r="J161" i="25"/>
  <c r="J180" i="25" s="1"/>
  <c r="J164" i="25"/>
  <c r="J183" i="25" s="1"/>
  <c r="AC32" i="32"/>
  <c r="AD32" i="32"/>
  <c r="R118" i="25"/>
  <c r="I118" i="36" s="1"/>
  <c r="I106" i="36"/>
  <c r="C165" i="25"/>
  <c r="C184" i="25" s="1"/>
  <c r="K91" i="25"/>
  <c r="C153" i="25"/>
  <c r="C172" i="25" s="1"/>
  <c r="K146" i="25"/>
  <c r="K215" i="25" s="1"/>
  <c r="G126" i="36"/>
  <c r="F117" i="36"/>
  <c r="AI69" i="27"/>
  <c r="N59" i="25"/>
  <c r="AJ57" i="27"/>
  <c r="AO48" i="32" l="1"/>
  <c r="AO73" i="26"/>
  <c r="T36" i="25"/>
  <c r="K94" i="25"/>
  <c r="AN72" i="27"/>
  <c r="AO60" i="27"/>
  <c r="S62" i="25"/>
  <c r="L146" i="25"/>
  <c r="L215" i="25" s="1"/>
  <c r="W50" i="38"/>
  <c r="W49" i="38"/>
  <c r="L136" i="25"/>
  <c r="L205" i="25" s="1"/>
  <c r="M84" i="25"/>
  <c r="N85" i="25"/>
  <c r="E103" i="36" s="1"/>
  <c r="L88" i="25"/>
  <c r="E199" i="36"/>
  <c r="E202" i="36"/>
  <c r="E196" i="36"/>
  <c r="E193" i="36"/>
  <c r="I88" i="36"/>
  <c r="Q9" i="25"/>
  <c r="H116" i="36" s="1"/>
  <c r="Q21" i="25"/>
  <c r="Q17" i="25"/>
  <c r="AK56" i="27"/>
  <c r="AJ68" i="27"/>
  <c r="O58" i="25"/>
  <c r="AJ63" i="27"/>
  <c r="T3" i="25"/>
  <c r="AD29" i="37"/>
  <c r="G104" i="36"/>
  <c r="F150" i="36"/>
  <c r="F147" i="36"/>
  <c r="F144" i="36"/>
  <c r="F141" i="36"/>
  <c r="F174" i="36"/>
  <c r="F235" i="36"/>
  <c r="F296" i="36"/>
  <c r="AJ69" i="27"/>
  <c r="AK57" i="27"/>
  <c r="O59" i="25"/>
  <c r="AO74" i="27"/>
  <c r="T64" i="25"/>
  <c r="H138" i="36"/>
  <c r="V6" i="41"/>
  <c r="U29" i="41"/>
  <c r="R7" i="25"/>
  <c r="S16" i="25"/>
  <c r="S20" i="25"/>
  <c r="AM67" i="27"/>
  <c r="R57" i="25"/>
  <c r="AN55" i="27"/>
  <c r="P123" i="25"/>
  <c r="G108" i="36" s="1"/>
  <c r="AH11" i="64"/>
  <c r="AG12" i="64"/>
  <c r="AI75" i="27"/>
  <c r="AN73" i="27"/>
  <c r="AO61" i="27"/>
  <c r="S63" i="25"/>
  <c r="AI69" i="26"/>
  <c r="AI44" i="32"/>
  <c r="AJ57" i="26"/>
  <c r="N32" i="25"/>
  <c r="Q18" i="25"/>
  <c r="Q8" i="25"/>
  <c r="H99" i="36" s="1"/>
  <c r="H100" i="36" s="1"/>
  <c r="Q22" i="25"/>
  <c r="L168" i="25"/>
  <c r="K178" i="25"/>
  <c r="AK49" i="32"/>
  <c r="P37" i="25"/>
  <c r="AL62" i="26"/>
  <c r="AK74" i="26"/>
  <c r="AG75" i="26"/>
  <c r="AG50" i="32"/>
  <c r="K100" i="25"/>
  <c r="D87" i="36"/>
  <c r="G127" i="36"/>
  <c r="K162" i="25"/>
  <c r="K181" i="25" s="1"/>
  <c r="K161" i="25"/>
  <c r="K180" i="25" s="1"/>
  <c r="K160" i="25"/>
  <c r="K179" i="25" s="1"/>
  <c r="K164" i="25"/>
  <c r="K183" i="25" s="1"/>
  <c r="K99" i="25"/>
  <c r="N56" i="25"/>
  <c r="N79" i="25"/>
  <c r="K101" i="25"/>
  <c r="G105" i="36"/>
  <c r="L29" i="25"/>
  <c r="L97" i="25" s="1"/>
  <c r="L78" i="25"/>
  <c r="K156" i="25"/>
  <c r="K175" i="25" s="1"/>
  <c r="K152" i="25"/>
  <c r="K171" i="25" s="1"/>
  <c r="K151" i="25"/>
  <c r="K170" i="25" s="1"/>
  <c r="K150" i="25"/>
  <c r="K169" i="25" s="1"/>
  <c r="K154" i="25"/>
  <c r="K173" i="25" s="1"/>
  <c r="D100" i="25"/>
  <c r="I89" i="36"/>
  <c r="AI46" i="32"/>
  <c r="AJ59" i="26"/>
  <c r="AI71" i="26"/>
  <c r="N34" i="25"/>
  <c r="AK29" i="43"/>
  <c r="T115" i="25"/>
  <c r="L137" i="25"/>
  <c r="L206" i="25" s="1"/>
  <c r="L133" i="25"/>
  <c r="L202" i="25" s="1"/>
  <c r="L131" i="25"/>
  <c r="L200" i="25" s="1"/>
  <c r="L132" i="25"/>
  <c r="L201" i="25" s="1"/>
  <c r="L135" i="25"/>
  <c r="L204" i="25" s="1"/>
  <c r="AG9" i="32"/>
  <c r="AG12" i="32"/>
  <c r="AG13" i="32"/>
  <c r="AG6" i="32"/>
  <c r="AG7" i="32"/>
  <c r="AG11" i="32"/>
  <c r="AG8" i="32"/>
  <c r="AG10" i="32"/>
  <c r="AI28" i="43"/>
  <c r="AJ20" i="43"/>
  <c r="D102" i="36"/>
  <c r="M92" i="25"/>
  <c r="E321" i="36"/>
  <c r="E324" i="36"/>
  <c r="E315" i="36"/>
  <c r="E318" i="36"/>
  <c r="O61" i="25"/>
  <c r="AJ71" i="27"/>
  <c r="AK59" i="27"/>
  <c r="R6" i="25"/>
  <c r="AB29" i="39"/>
  <c r="AC6" i="39"/>
  <c r="R48" i="71"/>
  <c r="R49" i="71"/>
  <c r="AH43" i="32"/>
  <c r="M31" i="25"/>
  <c r="AH68" i="26"/>
  <c r="AI56" i="26"/>
  <c r="AH63" i="26"/>
  <c r="K165" i="25"/>
  <c r="K184" i="25" s="1"/>
  <c r="O60" i="25"/>
  <c r="AK58" i="27"/>
  <c r="AJ70" i="27"/>
  <c r="AK22" i="43"/>
  <c r="AJ30" i="43"/>
  <c r="S116" i="25"/>
  <c r="AJ23" i="43"/>
  <c r="L143" i="25"/>
  <c r="L212" i="25" s="1"/>
  <c r="L141" i="25"/>
  <c r="L210" i="25" s="1"/>
  <c r="L142" i="25"/>
  <c r="L211" i="25" s="1"/>
  <c r="L145" i="25"/>
  <c r="L214" i="25" s="1"/>
  <c r="S118" i="25"/>
  <c r="J118" i="36" s="1"/>
  <c r="J106" i="36"/>
  <c r="M98" i="25"/>
  <c r="D103" i="36"/>
  <c r="M88" i="25"/>
  <c r="M140" i="25"/>
  <c r="M146" i="25" s="1"/>
  <c r="M215" i="25" s="1"/>
  <c r="M130" i="25"/>
  <c r="E254" i="36"/>
  <c r="E257" i="36"/>
  <c r="E263" i="36"/>
  <c r="E260" i="36"/>
  <c r="G117" i="36"/>
  <c r="K199" i="25"/>
  <c r="J209" i="25"/>
  <c r="AI31" i="43"/>
  <c r="R117" i="25"/>
  <c r="I101" i="36" s="1"/>
  <c r="I128" i="36" s="1"/>
  <c r="K155" i="25"/>
  <c r="K174" i="25" s="1"/>
  <c r="T62" i="25" l="1"/>
  <c r="AO72" i="27"/>
  <c r="H126" i="36"/>
  <c r="T116" i="25"/>
  <c r="AK30" i="43"/>
  <c r="AK23" i="43"/>
  <c r="AH9" i="32"/>
  <c r="L69" i="25"/>
  <c r="N130" i="25"/>
  <c r="N136" i="25" s="1"/>
  <c r="N205" i="25" s="1"/>
  <c r="N140" i="25"/>
  <c r="N146" i="25" s="1"/>
  <c r="N215" i="25" s="1"/>
  <c r="D137" i="36"/>
  <c r="D139" i="36" s="1"/>
  <c r="AL74" i="26"/>
  <c r="Q37" i="25"/>
  <c r="AL49" i="32"/>
  <c r="AM62" i="26"/>
  <c r="N84" i="25"/>
  <c r="W6" i="41"/>
  <c r="V29" i="41"/>
  <c r="S7" i="25"/>
  <c r="F260" i="36"/>
  <c r="F257" i="36"/>
  <c r="F254" i="36"/>
  <c r="F263" i="36"/>
  <c r="K209" i="25"/>
  <c r="L199" i="25"/>
  <c r="M143" i="25"/>
  <c r="M212" i="25" s="1"/>
  <c r="M141" i="25"/>
  <c r="M210" i="25" s="1"/>
  <c r="M142" i="25"/>
  <c r="M211" i="25" s="1"/>
  <c r="M145" i="25"/>
  <c r="M214" i="25" s="1"/>
  <c r="M144" i="25"/>
  <c r="M213" i="25" s="1"/>
  <c r="L70" i="25"/>
  <c r="AH10" i="32"/>
  <c r="AK57" i="26"/>
  <c r="AJ44" i="32"/>
  <c r="AJ69" i="26"/>
  <c r="O32" i="25"/>
  <c r="N98" i="25"/>
  <c r="H127" i="36"/>
  <c r="F196" i="36"/>
  <c r="F193" i="36"/>
  <c r="F202" i="36"/>
  <c r="F199" i="36"/>
  <c r="H104" i="36"/>
  <c r="M137" i="25"/>
  <c r="M206" i="25" s="1"/>
  <c r="M133" i="25"/>
  <c r="M202" i="25" s="1"/>
  <c r="M131" i="25"/>
  <c r="M200" i="25" s="1"/>
  <c r="M132" i="25"/>
  <c r="M201" i="25" s="1"/>
  <c r="P60" i="25"/>
  <c r="AL58" i="27"/>
  <c r="AK70" i="27"/>
  <c r="M134" i="25"/>
  <c r="M203" i="25" s="1"/>
  <c r="T16" i="25"/>
  <c r="T20" i="25"/>
  <c r="L71" i="25"/>
  <c r="AH11" i="32"/>
  <c r="G141" i="36"/>
  <c r="G144" i="36"/>
  <c r="G150" i="36"/>
  <c r="G147" i="36"/>
  <c r="G174" i="36"/>
  <c r="G235" i="36"/>
  <c r="G296" i="36"/>
  <c r="AJ46" i="32"/>
  <c r="AK59" i="26"/>
  <c r="O34" i="25"/>
  <c r="AJ71" i="26"/>
  <c r="AI11" i="64"/>
  <c r="Q123" i="25"/>
  <c r="H108" i="36" s="1"/>
  <c r="AH12" i="64"/>
  <c r="AC29" i="39"/>
  <c r="S6" i="25"/>
  <c r="AD6" i="39"/>
  <c r="AH7" i="32"/>
  <c r="L67" i="25"/>
  <c r="M168" i="25"/>
  <c r="L178" i="25"/>
  <c r="J89" i="36"/>
  <c r="O85" i="25"/>
  <c r="O56" i="25"/>
  <c r="O79" i="25"/>
  <c r="H105" i="36"/>
  <c r="D143" i="36"/>
  <c r="D145" i="36" s="1"/>
  <c r="D149" i="36"/>
  <c r="D151" i="36" s="1"/>
  <c r="D146" i="36"/>
  <c r="D148" i="36" s="1"/>
  <c r="D140" i="36"/>
  <c r="D142" i="36" s="1"/>
  <c r="D107" i="36"/>
  <c r="D109" i="36" s="1"/>
  <c r="S117" i="25"/>
  <c r="J101" i="36" s="1"/>
  <c r="J128" i="36" s="1"/>
  <c r="AJ31" i="43"/>
  <c r="AH75" i="26"/>
  <c r="AH50" i="32"/>
  <c r="AH6" i="32"/>
  <c r="AG14" i="32"/>
  <c r="L66" i="25"/>
  <c r="AN67" i="27"/>
  <c r="S57" i="25"/>
  <c r="AO55" i="27"/>
  <c r="J88" i="36"/>
  <c r="AK69" i="27"/>
  <c r="AL57" i="27"/>
  <c r="P59" i="25"/>
  <c r="P85" i="25" s="1"/>
  <c r="AJ75" i="27"/>
  <c r="H117" i="36"/>
  <c r="M29" i="25"/>
  <c r="M78" i="25"/>
  <c r="AH8" i="32"/>
  <c r="L68" i="25"/>
  <c r="M135" i="25"/>
  <c r="M204" i="25" s="1"/>
  <c r="AI43" i="32"/>
  <c r="N31" i="25"/>
  <c r="AI68" i="26"/>
  <c r="AJ56" i="26"/>
  <c r="AI63" i="26"/>
  <c r="R17" i="25"/>
  <c r="R9" i="25"/>
  <c r="I116" i="36" s="1"/>
  <c r="R21" i="25"/>
  <c r="AH13" i="32"/>
  <c r="L73" i="25"/>
  <c r="T118" i="25"/>
  <c r="K118" i="36" s="1"/>
  <c r="K106" i="36"/>
  <c r="I138" i="36"/>
  <c r="L91" i="25"/>
  <c r="L82" i="25"/>
  <c r="AO73" i="27"/>
  <c r="T63" i="25"/>
  <c r="R8" i="25"/>
  <c r="I99" i="36" s="1"/>
  <c r="I100" i="36" s="1"/>
  <c r="R22" i="25"/>
  <c r="R18" i="25"/>
  <c r="P58" i="25"/>
  <c r="AL56" i="27"/>
  <c r="AK68" i="27"/>
  <c r="AK75" i="27" s="1"/>
  <c r="AK63" i="27"/>
  <c r="M136" i="25"/>
  <c r="M205" i="25" s="1"/>
  <c r="D115" i="36"/>
  <c r="P61" i="25"/>
  <c r="AK71" i="27"/>
  <c r="AL59" i="27"/>
  <c r="AJ28" i="43"/>
  <c r="AK20" i="43"/>
  <c r="AK28" i="43" s="1"/>
  <c r="AH12" i="32"/>
  <c r="L72" i="25"/>
  <c r="L149" i="25"/>
  <c r="L155" i="25" s="1"/>
  <c r="L174" i="25" s="1"/>
  <c r="L159" i="25"/>
  <c r="L165" i="25" s="1"/>
  <c r="L184" i="25" s="1"/>
  <c r="L75" i="25"/>
  <c r="L101" i="25" s="1"/>
  <c r="N92" i="25"/>
  <c r="N144" i="25"/>
  <c r="N213" i="25" s="1"/>
  <c r="E102" i="36"/>
  <c r="N134" i="25"/>
  <c r="N203" i="25" s="1"/>
  <c r="F321" i="36"/>
  <c r="F318" i="36"/>
  <c r="F324" i="36"/>
  <c r="F315" i="36"/>
  <c r="L86" i="25" l="1"/>
  <c r="D110" i="36"/>
  <c r="T57" i="25"/>
  <c r="AO67" i="27"/>
  <c r="F103" i="36"/>
  <c r="O98" i="25"/>
  <c r="G257" i="36"/>
  <c r="G260" i="36"/>
  <c r="G254" i="36"/>
  <c r="G263" i="36"/>
  <c r="AI10" i="32"/>
  <c r="M70" i="25"/>
  <c r="I126" i="36"/>
  <c r="E87" i="36"/>
  <c r="N88" i="25"/>
  <c r="L87" i="25"/>
  <c r="H147" i="36"/>
  <c r="H141" i="36"/>
  <c r="H144" i="36"/>
  <c r="H150" i="36"/>
  <c r="H174" i="36"/>
  <c r="H296" i="36"/>
  <c r="H235" i="36"/>
  <c r="L156" i="25"/>
  <c r="L175" i="25" s="1"/>
  <c r="L152" i="25"/>
  <c r="L171" i="25" s="1"/>
  <c r="L150" i="25"/>
  <c r="L169" i="25" s="1"/>
  <c r="L151" i="25"/>
  <c r="L170" i="25" s="1"/>
  <c r="L154" i="25"/>
  <c r="L173" i="25" s="1"/>
  <c r="P79" i="25"/>
  <c r="P56" i="25"/>
  <c r="I104" i="36"/>
  <c r="AI8" i="32"/>
  <c r="M68" i="25"/>
  <c r="Q59" i="25"/>
  <c r="AL69" i="27"/>
  <c r="AM57" i="27"/>
  <c r="R123" i="25"/>
  <c r="I108" i="36" s="1"/>
  <c r="AJ11" i="64"/>
  <c r="AI12" i="64"/>
  <c r="K88" i="36"/>
  <c r="AM56" i="27"/>
  <c r="AL68" i="27"/>
  <c r="Q58" i="25"/>
  <c r="AL63" i="27"/>
  <c r="G199" i="36"/>
  <c r="G193" i="36"/>
  <c r="G196" i="36"/>
  <c r="G202" i="36"/>
  <c r="AM49" i="32"/>
  <c r="R37" i="25"/>
  <c r="AN62" i="26"/>
  <c r="AM74" i="26"/>
  <c r="L95" i="25"/>
  <c r="L153" i="25"/>
  <c r="L172" i="25" s="1"/>
  <c r="AI13" i="32"/>
  <c r="M73" i="25"/>
  <c r="AI75" i="26"/>
  <c r="AI50" i="32"/>
  <c r="M91" i="25"/>
  <c r="D86" i="36"/>
  <c r="M82" i="25"/>
  <c r="L65" i="25"/>
  <c r="L74" i="25" s="1"/>
  <c r="L80" i="25"/>
  <c r="J138" i="36"/>
  <c r="M67" i="25"/>
  <c r="AI7" i="32"/>
  <c r="O84" i="25"/>
  <c r="O88" i="25" s="1"/>
  <c r="AI9" i="32"/>
  <c r="M69" i="25"/>
  <c r="AJ68" i="26"/>
  <c r="O31" i="25"/>
  <c r="AK56" i="26"/>
  <c r="AJ43" i="32"/>
  <c r="AJ63" i="26"/>
  <c r="E146" i="36"/>
  <c r="E148" i="36" s="1"/>
  <c r="E109" i="36"/>
  <c r="E107" i="36"/>
  <c r="E140" i="36"/>
  <c r="E142" i="36" s="1"/>
  <c r="E149" i="36"/>
  <c r="E151" i="36" s="1"/>
  <c r="E143" i="36"/>
  <c r="E145" i="36" s="1"/>
  <c r="I105" i="36"/>
  <c r="AI6" i="32"/>
  <c r="M66" i="25"/>
  <c r="AH14" i="32"/>
  <c r="D223" i="36"/>
  <c r="D284" i="36"/>
  <c r="D297" i="36"/>
  <c r="D290" i="36" s="1"/>
  <c r="D175" i="36"/>
  <c r="D168" i="36" s="1"/>
  <c r="D236" i="36"/>
  <c r="D229" i="36" s="1"/>
  <c r="M178" i="25"/>
  <c r="N168" i="25"/>
  <c r="S17" i="25"/>
  <c r="S9" i="25"/>
  <c r="J116" i="36" s="1"/>
  <c r="S21" i="25"/>
  <c r="AL59" i="26"/>
  <c r="AK71" i="26"/>
  <c r="AK46" i="32"/>
  <c r="P34" i="25"/>
  <c r="Q60" i="25"/>
  <c r="AM58" i="27"/>
  <c r="AL70" i="27"/>
  <c r="S18" i="25"/>
  <c r="S8" i="25"/>
  <c r="J99" i="36" s="1"/>
  <c r="J100" i="36" s="1"/>
  <c r="S22" i="25"/>
  <c r="AK31" i="43"/>
  <c r="T117" i="25"/>
  <c r="K101" i="36" s="1"/>
  <c r="K128" i="36" s="1"/>
  <c r="AM59" i="27"/>
  <c r="AL71" i="27"/>
  <c r="Q61" i="25"/>
  <c r="K89" i="36"/>
  <c r="T6" i="25"/>
  <c r="AD29" i="39"/>
  <c r="AI12" i="32"/>
  <c r="M72" i="25"/>
  <c r="I127" i="36"/>
  <c r="N29" i="25"/>
  <c r="N78" i="25"/>
  <c r="D113" i="36"/>
  <c r="D111" i="36"/>
  <c r="D112" i="36"/>
  <c r="O92" i="25"/>
  <c r="F102" i="36"/>
  <c r="M71" i="25"/>
  <c r="AI11" i="32"/>
  <c r="N143" i="25"/>
  <c r="N212" i="25" s="1"/>
  <c r="N141" i="25"/>
  <c r="N210" i="25" s="1"/>
  <c r="N142" i="25"/>
  <c r="N211" i="25" s="1"/>
  <c r="N145" i="25"/>
  <c r="N214" i="25" s="1"/>
  <c r="L162" i="25"/>
  <c r="L181" i="25" s="1"/>
  <c r="L160" i="25"/>
  <c r="L179" i="25" s="1"/>
  <c r="L161" i="25"/>
  <c r="L180" i="25" s="1"/>
  <c r="L164" i="25"/>
  <c r="L183" i="25" s="1"/>
  <c r="G103" i="36"/>
  <c r="P98" i="25"/>
  <c r="L163" i="25"/>
  <c r="L182" i="25" s="1"/>
  <c r="M149" i="25"/>
  <c r="M159" i="25"/>
  <c r="M97" i="25"/>
  <c r="M75" i="25"/>
  <c r="M101" i="25" s="1"/>
  <c r="D224" i="36"/>
  <c r="D218" i="36" s="1"/>
  <c r="D285" i="36"/>
  <c r="D279" i="36" s="1"/>
  <c r="D176" i="36"/>
  <c r="D169" i="36" s="1"/>
  <c r="D237" i="36"/>
  <c r="D230" i="36" s="1"/>
  <c r="D298" i="36"/>
  <c r="D291" i="36" s="1"/>
  <c r="I117" i="36"/>
  <c r="O136" i="25"/>
  <c r="O205" i="25" s="1"/>
  <c r="O130" i="25"/>
  <c r="O135" i="25" s="1"/>
  <c r="O204" i="25" s="1"/>
  <c r="O140" i="25"/>
  <c r="O145" i="25" s="1"/>
  <c r="O214" i="25" s="1"/>
  <c r="G315" i="36"/>
  <c r="G324" i="36"/>
  <c r="G321" i="36"/>
  <c r="G318" i="36"/>
  <c r="AK44" i="32"/>
  <c r="AL57" i="26"/>
  <c r="P32" i="25"/>
  <c r="AK69" i="26"/>
  <c r="L209" i="25"/>
  <c r="M199" i="25"/>
  <c r="T7" i="25"/>
  <c r="W29" i="41"/>
  <c r="N137" i="25"/>
  <c r="N206" i="25" s="1"/>
  <c r="N133" i="25"/>
  <c r="N202" i="25" s="1"/>
  <c r="N132" i="25"/>
  <c r="N201" i="25" s="1"/>
  <c r="N131" i="25"/>
  <c r="N200" i="25" s="1"/>
  <c r="N135" i="25"/>
  <c r="N204" i="25" s="1"/>
  <c r="J126" i="36" l="1"/>
  <c r="O146" i="25"/>
  <c r="O215" i="25" s="1"/>
  <c r="O134" i="25"/>
  <c r="O203" i="25" s="1"/>
  <c r="F115" i="36"/>
  <c r="J117" i="36"/>
  <c r="AJ6" i="32"/>
  <c r="N66" i="25"/>
  <c r="AI14" i="32"/>
  <c r="O29" i="25"/>
  <c r="O78" i="25"/>
  <c r="E137" i="36"/>
  <c r="E139" i="36" s="1"/>
  <c r="M162" i="25"/>
  <c r="M181" i="25" s="1"/>
  <c r="M161" i="25"/>
  <c r="M180" i="25" s="1"/>
  <c r="M160" i="25"/>
  <c r="M179" i="25" s="1"/>
  <c r="M164" i="25"/>
  <c r="M183" i="25" s="1"/>
  <c r="M156" i="25"/>
  <c r="M175" i="25" s="1"/>
  <c r="M152" i="25"/>
  <c r="M171" i="25" s="1"/>
  <c r="M150" i="25"/>
  <c r="M169" i="25" s="1"/>
  <c r="M151" i="25"/>
  <c r="M170" i="25" s="1"/>
  <c r="M154" i="25"/>
  <c r="M173" i="25" s="1"/>
  <c r="D287" i="36"/>
  <c r="D281" i="36" s="1"/>
  <c r="D226" i="36"/>
  <c r="D220" i="36" s="1"/>
  <c r="D178" i="36"/>
  <c r="D171" i="36" s="1"/>
  <c r="D300" i="36"/>
  <c r="D293" i="36" s="1"/>
  <c r="D314" i="36" s="1"/>
  <c r="D316" i="36" s="1"/>
  <c r="D331" i="36" s="1"/>
  <c r="D239" i="36"/>
  <c r="D232" i="36" s="1"/>
  <c r="D262" i="36"/>
  <c r="D264" i="36" s="1"/>
  <c r="D273" i="36" s="1"/>
  <c r="D114" i="36"/>
  <c r="M95" i="25"/>
  <c r="AJ13" i="32"/>
  <c r="N73" i="25"/>
  <c r="L99" i="25"/>
  <c r="T22" i="25"/>
  <c r="T8" i="25"/>
  <c r="K99" i="36" s="1"/>
  <c r="K100" i="36" s="1"/>
  <c r="T18" i="25"/>
  <c r="M155" i="25"/>
  <c r="M174" i="25" s="1"/>
  <c r="AJ11" i="32"/>
  <c r="N71" i="25"/>
  <c r="D225" i="36"/>
  <c r="D219" i="36" s="1"/>
  <c r="D245" i="36" s="1"/>
  <c r="D286" i="36"/>
  <c r="D280" i="36" s="1"/>
  <c r="D306" i="36" s="1"/>
  <c r="D238" i="36"/>
  <c r="D231" i="36" s="1"/>
  <c r="D253" i="36" s="1"/>
  <c r="D255" i="36" s="1"/>
  <c r="D270" i="36" s="1"/>
  <c r="D299" i="36"/>
  <c r="D292" i="36" s="1"/>
  <c r="D177" i="36"/>
  <c r="D170" i="36" s="1"/>
  <c r="T17" i="25"/>
  <c r="T21" i="25"/>
  <c r="T9" i="25"/>
  <c r="K116" i="36" s="1"/>
  <c r="J104" i="36"/>
  <c r="E113" i="36"/>
  <c r="E112" i="36"/>
  <c r="E111" i="36"/>
  <c r="E110" i="36"/>
  <c r="M153" i="25"/>
  <c r="M172" i="25" s="1"/>
  <c r="K126" i="36"/>
  <c r="H254" i="36"/>
  <c r="H260" i="36"/>
  <c r="H257" i="36"/>
  <c r="H263" i="36"/>
  <c r="L100" i="25"/>
  <c r="M165" i="25"/>
  <c r="M184" i="25" s="1"/>
  <c r="D227" i="36"/>
  <c r="D221" i="36" s="1"/>
  <c r="D247" i="36" s="1"/>
  <c r="D288" i="36"/>
  <c r="D282" i="36" s="1"/>
  <c r="D308" i="36" s="1"/>
  <c r="D301" i="36"/>
  <c r="D294" i="36" s="1"/>
  <c r="D240" i="36"/>
  <c r="D233" i="36" s="1"/>
  <c r="D179" i="36"/>
  <c r="D172" i="36" s="1"/>
  <c r="AN59" i="27"/>
  <c r="AM71" i="27"/>
  <c r="R61" i="25"/>
  <c r="Q34" i="25"/>
  <c r="AL46" i="32"/>
  <c r="AM59" i="26"/>
  <c r="AL71" i="26"/>
  <c r="N178" i="25"/>
  <c r="O168" i="25"/>
  <c r="E284" i="36"/>
  <c r="E223" i="36"/>
  <c r="E175" i="36"/>
  <c r="E168" i="36" s="1"/>
  <c r="E297" i="36"/>
  <c r="E290" i="36" s="1"/>
  <c r="E236" i="36"/>
  <c r="E229" i="36" s="1"/>
  <c r="AJ9" i="32"/>
  <c r="N69" i="25"/>
  <c r="M163" i="25"/>
  <c r="M182" i="25" s="1"/>
  <c r="AN57" i="27"/>
  <c r="AM69" i="27"/>
  <c r="R59" i="25"/>
  <c r="P140" i="25"/>
  <c r="P130" i="25"/>
  <c r="P136" i="25" s="1"/>
  <c r="P205" i="25" s="1"/>
  <c r="H321" i="36"/>
  <c r="H315" i="36"/>
  <c r="H324" i="36"/>
  <c r="H318" i="36"/>
  <c r="AJ10" i="32"/>
  <c r="N70" i="25"/>
  <c r="E86" i="36"/>
  <c r="N91" i="25"/>
  <c r="N82" i="25"/>
  <c r="O97" i="25"/>
  <c r="F87" i="36"/>
  <c r="AJ7" i="32"/>
  <c r="N67" i="25"/>
  <c r="D91" i="36"/>
  <c r="D278" i="36"/>
  <c r="D217" i="36"/>
  <c r="AJ12" i="64"/>
  <c r="S123" i="25"/>
  <c r="J108" i="36" s="1"/>
  <c r="AK11" i="64"/>
  <c r="G102" i="36"/>
  <c r="P92" i="25"/>
  <c r="H199" i="36"/>
  <c r="H196" i="36"/>
  <c r="H202" i="36"/>
  <c r="H193" i="36"/>
  <c r="E115" i="36"/>
  <c r="AJ12" i="32"/>
  <c r="N72" i="25"/>
  <c r="M209" i="25"/>
  <c r="N199" i="25"/>
  <c r="D249" i="36"/>
  <c r="F143" i="36"/>
  <c r="F145" i="36" s="1"/>
  <c r="F140" i="36"/>
  <c r="F142" i="36" s="1"/>
  <c r="F107" i="36"/>
  <c r="F109" i="36" s="1"/>
  <c r="F146" i="36"/>
  <c r="F148" i="36" s="1"/>
  <c r="F149" i="36"/>
  <c r="F151" i="36" s="1"/>
  <c r="N159" i="25"/>
  <c r="N163" i="25" s="1"/>
  <c r="N182" i="25" s="1"/>
  <c r="N149" i="25"/>
  <c r="N155" i="25" s="1"/>
  <c r="N174" i="25" s="1"/>
  <c r="N75" i="25"/>
  <c r="N101" i="25" s="1"/>
  <c r="K138" i="36"/>
  <c r="K127" i="36"/>
  <c r="AJ75" i="26"/>
  <c r="AJ50" i="32"/>
  <c r="J127" i="36"/>
  <c r="AN74" i="26"/>
  <c r="AO62" i="26"/>
  <c r="AN49" i="32"/>
  <c r="S37" i="25"/>
  <c r="Q56" i="25"/>
  <c r="Q79" i="25"/>
  <c r="I141" i="36"/>
  <c r="I144" i="36"/>
  <c r="I147" i="36"/>
  <c r="I150" i="36"/>
  <c r="I174" i="36"/>
  <c r="I296" i="36"/>
  <c r="I235" i="36"/>
  <c r="Q85" i="25"/>
  <c r="N97" i="25"/>
  <c r="D310" i="36"/>
  <c r="O143" i="25"/>
  <c r="O212" i="25" s="1"/>
  <c r="O142" i="25"/>
  <c r="O211" i="25" s="1"/>
  <c r="O141" i="25"/>
  <c r="O210" i="25" s="1"/>
  <c r="P84" i="25"/>
  <c r="O144" i="25"/>
  <c r="O213" i="25" s="1"/>
  <c r="AM70" i="27"/>
  <c r="AN58" i="27"/>
  <c r="R60" i="25"/>
  <c r="J105" i="36"/>
  <c r="AL75" i="27"/>
  <c r="M86" i="25"/>
  <c r="O137" i="25"/>
  <c r="O206" i="25" s="1"/>
  <c r="O133" i="25"/>
  <c r="O202" i="25" s="1"/>
  <c r="O131" i="25"/>
  <c r="O200" i="25" s="1"/>
  <c r="O132" i="25"/>
  <c r="O201" i="25" s="1"/>
  <c r="AM57" i="26"/>
  <c r="Q32" i="25"/>
  <c r="AL44" i="32"/>
  <c r="AL69" i="26"/>
  <c r="M65" i="25"/>
  <c r="M74" i="25" s="1"/>
  <c r="M80" i="25"/>
  <c r="AK43" i="32"/>
  <c r="P31" i="25"/>
  <c r="AK68" i="26"/>
  <c r="AL56" i="26"/>
  <c r="AK63" i="26"/>
  <c r="L93" i="25"/>
  <c r="L81" i="25"/>
  <c r="L94" i="25" s="1"/>
  <c r="AN56" i="27"/>
  <c r="AM68" i="27"/>
  <c r="R58" i="25"/>
  <c r="AM63" i="27"/>
  <c r="AJ8" i="32"/>
  <c r="N68" i="25"/>
  <c r="D295" i="36" l="1"/>
  <c r="D252" i="36"/>
  <c r="D269" i="36" s="1"/>
  <c r="D323" i="36"/>
  <c r="D325" i="36" s="1"/>
  <c r="D334" i="36" s="1"/>
  <c r="D313" i="36"/>
  <c r="D330" i="36" s="1"/>
  <c r="N165" i="25"/>
  <c r="N184" i="25" s="1"/>
  <c r="D317" i="36"/>
  <c r="D319" i="36" s="1"/>
  <c r="D332" i="36" s="1"/>
  <c r="F110" i="36"/>
  <c r="F237" i="36" s="1"/>
  <c r="F230" i="36" s="1"/>
  <c r="D320" i="36"/>
  <c r="D322" i="36" s="1"/>
  <c r="D333" i="36" s="1"/>
  <c r="D198" i="36"/>
  <c r="D200" i="36" s="1"/>
  <c r="D211" i="36" s="1"/>
  <c r="E12" i="35" s="1"/>
  <c r="AM75" i="27"/>
  <c r="P134" i="25"/>
  <c r="P203" i="25" s="1"/>
  <c r="D256" i="36"/>
  <c r="D258" i="36" s="1"/>
  <c r="D271" i="36" s="1"/>
  <c r="E28" i="35"/>
  <c r="E27" i="35"/>
  <c r="E43" i="35"/>
  <c r="AO58" i="27"/>
  <c r="AN70" i="27"/>
  <c r="S60" i="25"/>
  <c r="F113" i="36"/>
  <c r="F111" i="36"/>
  <c r="F112" i="36"/>
  <c r="G140" i="36"/>
  <c r="G142" i="36" s="1"/>
  <c r="G149" i="36"/>
  <c r="G151" i="36" s="1"/>
  <c r="G146" i="36"/>
  <c r="G148" i="36" s="1"/>
  <c r="G143" i="36"/>
  <c r="G145" i="36" s="1"/>
  <c r="G109" i="36"/>
  <c r="G107" i="36"/>
  <c r="D283" i="36"/>
  <c r="N153" i="25"/>
  <c r="N172" i="25" s="1"/>
  <c r="E44" i="35"/>
  <c r="D201" i="36"/>
  <c r="D203" i="36" s="1"/>
  <c r="D212" i="36" s="1"/>
  <c r="D259" i="36"/>
  <c r="D261" i="36" s="1"/>
  <c r="D272" i="36" s="1"/>
  <c r="N80" i="25"/>
  <c r="N65" i="25"/>
  <c r="N74" i="25" s="1"/>
  <c r="I196" i="36"/>
  <c r="I193" i="36"/>
  <c r="I202" i="36"/>
  <c r="I199" i="36"/>
  <c r="E288" i="36"/>
  <c r="E282" i="36" s="1"/>
  <c r="E308" i="36" s="1"/>
  <c r="E227" i="36"/>
  <c r="E221" i="36" s="1"/>
  <c r="E247" i="36" s="1"/>
  <c r="E301" i="36"/>
  <c r="E294" i="36" s="1"/>
  <c r="E240" i="36"/>
  <c r="E233" i="36" s="1"/>
  <c r="E179" i="36"/>
  <c r="E172" i="36" s="1"/>
  <c r="D307" i="36"/>
  <c r="D311" i="36"/>
  <c r="D312" i="36" s="1"/>
  <c r="D329" i="36" s="1"/>
  <c r="AN68" i="27"/>
  <c r="AO56" i="27"/>
  <c r="S58" i="25"/>
  <c r="AN63" i="27"/>
  <c r="AK12" i="32"/>
  <c r="O72" i="25"/>
  <c r="T123" i="25"/>
  <c r="K108" i="36" s="1"/>
  <c r="AK12" i="64"/>
  <c r="E217" i="36"/>
  <c r="E92" i="36"/>
  <c r="E278" i="36"/>
  <c r="E91" i="36"/>
  <c r="R85" i="25"/>
  <c r="O178" i="25"/>
  <c r="P168" i="25"/>
  <c r="AO59" i="27"/>
  <c r="AN71" i="27"/>
  <c r="S61" i="25"/>
  <c r="D192" i="36"/>
  <c r="D194" i="36" s="1"/>
  <c r="D209" i="36" s="1"/>
  <c r="D234" i="36"/>
  <c r="AK6" i="32"/>
  <c r="AJ14" i="32"/>
  <c r="O66" i="25"/>
  <c r="E47" i="35"/>
  <c r="N156" i="25"/>
  <c r="N175" i="25" s="1"/>
  <c r="N152" i="25"/>
  <c r="N171" i="25" s="1"/>
  <c r="N151" i="25"/>
  <c r="N170" i="25" s="1"/>
  <c r="N150" i="25"/>
  <c r="N169" i="25" s="1"/>
  <c r="N154" i="25"/>
  <c r="N173" i="25" s="1"/>
  <c r="AK7" i="32"/>
  <c r="O67" i="25"/>
  <c r="O69" i="25"/>
  <c r="AK9" i="32"/>
  <c r="R56" i="25"/>
  <c r="R79" i="25"/>
  <c r="M87" i="25"/>
  <c r="M99" i="25"/>
  <c r="J141" i="36"/>
  <c r="J150" i="36"/>
  <c r="J147" i="36"/>
  <c r="J144" i="36"/>
  <c r="J174" i="36"/>
  <c r="J296" i="36"/>
  <c r="J235" i="36"/>
  <c r="E19" i="35"/>
  <c r="E102" i="35"/>
  <c r="E101" i="35" s="1"/>
  <c r="E70" i="35"/>
  <c r="E69" i="35" s="1"/>
  <c r="E86" i="35"/>
  <c r="E85" i="35" s="1"/>
  <c r="D130" i="36"/>
  <c r="E53" i="35"/>
  <c r="E37" i="35"/>
  <c r="D96" i="36"/>
  <c r="D94" i="36"/>
  <c r="D95" i="36"/>
  <c r="D93" i="36"/>
  <c r="D195" i="36"/>
  <c r="D197" i="36" s="1"/>
  <c r="D210" i="36" s="1"/>
  <c r="K117" i="36"/>
  <c r="F86" i="36"/>
  <c r="O91" i="25"/>
  <c r="O82" i="25"/>
  <c r="P143" i="25"/>
  <c r="P212" i="25" s="1"/>
  <c r="P142" i="25"/>
  <c r="P211" i="25" s="1"/>
  <c r="P141" i="25"/>
  <c r="P210" i="25" s="1"/>
  <c r="P145" i="25"/>
  <c r="P214" i="25" s="1"/>
  <c r="K104" i="36"/>
  <c r="O199" i="25"/>
  <c r="N209" i="25"/>
  <c r="E29" i="35"/>
  <c r="G87" i="36"/>
  <c r="P88" i="25"/>
  <c r="H103" i="36"/>
  <c r="Q98" i="25"/>
  <c r="H102" i="36"/>
  <c r="Q92" i="25"/>
  <c r="D92" i="36"/>
  <c r="AN69" i="27"/>
  <c r="AO57" i="27"/>
  <c r="S59" i="25"/>
  <c r="E285" i="36"/>
  <c r="E279" i="36" s="1"/>
  <c r="E224" i="36"/>
  <c r="E218" i="36" s="1"/>
  <c r="E237" i="36"/>
  <c r="E230" i="36" s="1"/>
  <c r="E298" i="36"/>
  <c r="E291" i="36" s="1"/>
  <c r="E176" i="36"/>
  <c r="E169" i="36" s="1"/>
  <c r="D173" i="36"/>
  <c r="K105" i="36"/>
  <c r="AK13" i="32"/>
  <c r="O73" i="25"/>
  <c r="O149" i="25"/>
  <c r="O153" i="25" s="1"/>
  <c r="O172" i="25" s="1"/>
  <c r="O159" i="25"/>
  <c r="O163" i="25" s="1"/>
  <c r="O182" i="25" s="1"/>
  <c r="O75" i="25"/>
  <c r="O101" i="25" s="1"/>
  <c r="AK8" i="32"/>
  <c r="O68" i="25"/>
  <c r="E31" i="35"/>
  <c r="E45" i="35"/>
  <c r="P29" i="25"/>
  <c r="P97" i="25" s="1"/>
  <c r="P78" i="25"/>
  <c r="N86" i="25"/>
  <c r="AK75" i="26"/>
  <c r="AK50" i="32"/>
  <c r="M81" i="25"/>
  <c r="M93" i="25"/>
  <c r="Q84" i="25"/>
  <c r="I260" i="36"/>
  <c r="I257" i="36"/>
  <c r="I254" i="36"/>
  <c r="I263" i="36"/>
  <c r="Q140" i="25"/>
  <c r="Q130" i="25"/>
  <c r="Q134" i="25" s="1"/>
  <c r="Q203" i="25" s="1"/>
  <c r="P137" i="25"/>
  <c r="P206" i="25" s="1"/>
  <c r="P133" i="25"/>
  <c r="P202" i="25" s="1"/>
  <c r="P131" i="25"/>
  <c r="P200" i="25" s="1"/>
  <c r="P132" i="25"/>
  <c r="P201" i="25" s="1"/>
  <c r="P135" i="25"/>
  <c r="P204" i="25" s="1"/>
  <c r="AM71" i="26"/>
  <c r="AN59" i="26"/>
  <c r="R34" i="25"/>
  <c r="AM46" i="32"/>
  <c r="E225" i="36"/>
  <c r="E219" i="36" s="1"/>
  <c r="E245" i="36" s="1"/>
  <c r="E286" i="36"/>
  <c r="E280" i="36" s="1"/>
  <c r="E306" i="36" s="1"/>
  <c r="E177" i="36"/>
  <c r="E170" i="36" s="1"/>
  <c r="E238" i="36"/>
  <c r="E231" i="36" s="1"/>
  <c r="E299" i="36"/>
  <c r="E292" i="36" s="1"/>
  <c r="AK11" i="32"/>
  <c r="O71" i="25"/>
  <c r="Q31" i="25"/>
  <c r="AL68" i="26"/>
  <c r="AL43" i="32"/>
  <c r="AM56" i="26"/>
  <c r="AL63" i="26"/>
  <c r="F298" i="36"/>
  <c r="F291" i="36" s="1"/>
  <c r="F176" i="36"/>
  <c r="F169" i="36" s="1"/>
  <c r="D119" i="36"/>
  <c r="D123" i="36"/>
  <c r="D121" i="36"/>
  <c r="D122" i="36"/>
  <c r="D120" i="36"/>
  <c r="AM44" i="32"/>
  <c r="R32" i="25"/>
  <c r="R84" i="25" s="1"/>
  <c r="AM69" i="26"/>
  <c r="AN57" i="26"/>
  <c r="I318" i="36"/>
  <c r="I324" i="36"/>
  <c r="I315" i="36"/>
  <c r="I321" i="36"/>
  <c r="F223" i="36"/>
  <c r="F284" i="36"/>
  <c r="F236" i="36"/>
  <c r="F229" i="36" s="1"/>
  <c r="F297" i="36"/>
  <c r="F290" i="36" s="1"/>
  <c r="F175" i="36"/>
  <c r="F168" i="36" s="1"/>
  <c r="E287" i="36"/>
  <c r="E281" i="36" s="1"/>
  <c r="E226" i="36"/>
  <c r="E220" i="36" s="1"/>
  <c r="E178" i="36"/>
  <c r="E171" i="36" s="1"/>
  <c r="E300" i="36"/>
  <c r="E293" i="36" s="1"/>
  <c r="E239" i="36"/>
  <c r="E232" i="36" s="1"/>
  <c r="E262" i="36" s="1"/>
  <c r="E264" i="36" s="1"/>
  <c r="E273" i="36" s="1"/>
  <c r="D246" i="36"/>
  <c r="D250" i="36"/>
  <c r="D251" i="36" s="1"/>
  <c r="D268" i="36" s="1"/>
  <c r="P144" i="25"/>
  <c r="P213" i="25" s="1"/>
  <c r="N95" i="25"/>
  <c r="E114" i="36"/>
  <c r="AO49" i="32"/>
  <c r="AO74" i="26"/>
  <c r="T37" i="25"/>
  <c r="N162" i="25"/>
  <c r="N181" i="25" s="1"/>
  <c r="N160" i="25"/>
  <c r="N179" i="25" s="1"/>
  <c r="N161" i="25"/>
  <c r="N180" i="25" s="1"/>
  <c r="N164" i="25"/>
  <c r="N183" i="25" s="1"/>
  <c r="D222" i="36"/>
  <c r="F137" i="36"/>
  <c r="F139" i="36" s="1"/>
  <c r="AK10" i="32"/>
  <c r="O70" i="25"/>
  <c r="P146" i="25"/>
  <c r="P215" i="25" s="1"/>
  <c r="E46" i="35"/>
  <c r="F224" i="36" l="1"/>
  <c r="F218" i="36" s="1"/>
  <c r="F249" i="36" s="1"/>
  <c r="F285" i="36"/>
  <c r="F279" i="36" s="1"/>
  <c r="Q136" i="25"/>
  <c r="Q205" i="25" s="1"/>
  <c r="E259" i="36"/>
  <c r="E261" i="36" s="1"/>
  <c r="E272" i="36" s="1"/>
  <c r="F30" i="35" s="1"/>
  <c r="E173" i="36"/>
  <c r="E201" i="36"/>
  <c r="E203" i="36" s="1"/>
  <c r="E212" i="36" s="1"/>
  <c r="F13" i="35" s="1"/>
  <c r="E314" i="36"/>
  <c r="E316" i="36" s="1"/>
  <c r="E331" i="36" s="1"/>
  <c r="O155" i="25"/>
  <c r="O174" i="25" s="1"/>
  <c r="F44" i="35"/>
  <c r="F31" i="35"/>
  <c r="AM43" i="32"/>
  <c r="AM68" i="26"/>
  <c r="AN56" i="26"/>
  <c r="R31" i="25"/>
  <c r="AM63" i="26"/>
  <c r="E42" i="35"/>
  <c r="N99" i="25"/>
  <c r="N87" i="25"/>
  <c r="AL8" i="32"/>
  <c r="P68" i="25"/>
  <c r="AL13" i="32"/>
  <c r="P73" i="25"/>
  <c r="E249" i="36"/>
  <c r="E252" i="36"/>
  <c r="E269" i="36" s="1"/>
  <c r="G115" i="36"/>
  <c r="P101" i="25"/>
  <c r="P199" i="25"/>
  <c r="O209" i="25"/>
  <c r="F114" i="36"/>
  <c r="O95" i="25"/>
  <c r="D353" i="36"/>
  <c r="D340" i="36" s="1"/>
  <c r="D459" i="36"/>
  <c r="D446" i="36" s="1"/>
  <c r="D406" i="36"/>
  <c r="D393" i="36" s="1"/>
  <c r="D163" i="36"/>
  <c r="D157" i="36" s="1"/>
  <c r="R140" i="25"/>
  <c r="R145" i="25" s="1"/>
  <c r="R214" i="25" s="1"/>
  <c r="R130" i="25"/>
  <c r="E198" i="36"/>
  <c r="E200" i="36" s="1"/>
  <c r="E211" i="36" s="1"/>
  <c r="E323" i="36"/>
  <c r="E325" i="36" s="1"/>
  <c r="E334" i="36" s="1"/>
  <c r="F287" i="36"/>
  <c r="F281" i="36" s="1"/>
  <c r="F226" i="36"/>
  <c r="F220" i="36" s="1"/>
  <c r="F178" i="36"/>
  <c r="F171" i="36" s="1"/>
  <c r="F300" i="36"/>
  <c r="F293" i="36" s="1"/>
  <c r="F239" i="36"/>
  <c r="F232" i="36" s="1"/>
  <c r="F256" i="36" s="1"/>
  <c r="F258" i="36" s="1"/>
  <c r="F271" i="36" s="1"/>
  <c r="G29" i="35" s="1"/>
  <c r="P91" i="25"/>
  <c r="G86" i="36"/>
  <c r="P82" i="25"/>
  <c r="E310" i="36"/>
  <c r="E313" i="36"/>
  <c r="E330" i="36" s="1"/>
  <c r="D355" i="36"/>
  <c r="D342" i="36" s="1"/>
  <c r="D408" i="36"/>
  <c r="D395" i="36" s="1"/>
  <c r="D461" i="36"/>
  <c r="D448" i="36" s="1"/>
  <c r="D165" i="36"/>
  <c r="D159" i="36" s="1"/>
  <c r="E192" i="36"/>
  <c r="E194" i="36" s="1"/>
  <c r="E209" i="36" s="1"/>
  <c r="F10" i="35" s="1"/>
  <c r="E283" i="36"/>
  <c r="E317" i="36"/>
  <c r="E319" i="36" s="1"/>
  <c r="E332" i="36" s="1"/>
  <c r="F225" i="36"/>
  <c r="F219" i="36" s="1"/>
  <c r="F245" i="36" s="1"/>
  <c r="F286" i="36"/>
  <c r="F280" i="36" s="1"/>
  <c r="F306" i="36" s="1"/>
  <c r="F299" i="36"/>
  <c r="F292" i="36" s="1"/>
  <c r="F314" i="36" s="1"/>
  <c r="F316" i="36" s="1"/>
  <c r="F331" i="36" s="1"/>
  <c r="F177" i="36"/>
  <c r="F170" i="36" s="1"/>
  <c r="F198" i="36" s="1"/>
  <c r="F200" i="36" s="1"/>
  <c r="F211" i="36" s="1"/>
  <c r="G12" i="35" s="1"/>
  <c r="F238" i="36"/>
  <c r="F231" i="36" s="1"/>
  <c r="AL10" i="32"/>
  <c r="P70" i="25"/>
  <c r="Q137" i="25"/>
  <c r="Q206" i="25" s="1"/>
  <c r="Q133" i="25"/>
  <c r="Q202" i="25" s="1"/>
  <c r="Q131" i="25"/>
  <c r="Q200" i="25" s="1"/>
  <c r="Q132" i="25"/>
  <c r="Q201" i="25" s="1"/>
  <c r="P149" i="25"/>
  <c r="P153" i="25" s="1"/>
  <c r="P172" i="25" s="1"/>
  <c r="P159" i="25"/>
  <c r="P165" i="25" s="1"/>
  <c r="P184" i="25" s="1"/>
  <c r="P75" i="25"/>
  <c r="S85" i="25"/>
  <c r="H107" i="36"/>
  <c r="H109" i="36" s="1"/>
  <c r="H149" i="36"/>
  <c r="H151" i="36" s="1"/>
  <c r="H140" i="36"/>
  <c r="H142" i="36" s="1"/>
  <c r="H146" i="36"/>
  <c r="H148" i="36" s="1"/>
  <c r="H143" i="36"/>
  <c r="H145" i="36" s="1"/>
  <c r="D354" i="36"/>
  <c r="D341" i="36" s="1"/>
  <c r="D460" i="36"/>
  <c r="D447" i="36" s="1"/>
  <c r="D407" i="36"/>
  <c r="D394" i="36" s="1"/>
  <c r="D416" i="36" s="1"/>
  <c r="D164" i="36"/>
  <c r="D158" i="36" s="1"/>
  <c r="D184" i="36" s="1"/>
  <c r="E18" i="35"/>
  <c r="C10" i="77"/>
  <c r="C155" i="30"/>
  <c r="AO71" i="27"/>
  <c r="T61" i="25"/>
  <c r="I103" i="36"/>
  <c r="R98" i="25"/>
  <c r="R135" i="25"/>
  <c r="R204" i="25" s="1"/>
  <c r="R88" i="25"/>
  <c r="E458" i="36"/>
  <c r="E445" i="36" s="1"/>
  <c r="E405" i="36"/>
  <c r="E392" i="36" s="1"/>
  <c r="E352" i="36"/>
  <c r="E339" i="36" s="1"/>
  <c r="E162" i="36"/>
  <c r="E156" i="36" s="1"/>
  <c r="N93" i="25"/>
  <c r="N81" i="25"/>
  <c r="E320" i="36"/>
  <c r="E322" i="36" s="1"/>
  <c r="E333" i="36" s="1"/>
  <c r="G113" i="36"/>
  <c r="G111" i="36"/>
  <c r="G112" i="36"/>
  <c r="G110" i="36"/>
  <c r="F227" i="36"/>
  <c r="F221" i="36" s="1"/>
  <c r="F247" i="36" s="1"/>
  <c r="F288" i="36"/>
  <c r="F282" i="36" s="1"/>
  <c r="F308" i="36" s="1"/>
  <c r="F179" i="36"/>
  <c r="F172" i="36" s="1"/>
  <c r="F173" i="36" s="1"/>
  <c r="F240" i="36"/>
  <c r="F233" i="36" s="1"/>
  <c r="F301" i="36"/>
  <c r="F294" i="36" s="1"/>
  <c r="E119" i="36"/>
  <c r="E123" i="36"/>
  <c r="E121" i="36"/>
  <c r="E122" i="36"/>
  <c r="Q143" i="25"/>
  <c r="Q212" i="25" s="1"/>
  <c r="Q142" i="25"/>
  <c r="Q211" i="25" s="1"/>
  <c r="Q141" i="25"/>
  <c r="Q210" i="25" s="1"/>
  <c r="P178" i="25"/>
  <c r="Q168" i="25"/>
  <c r="E222" i="36"/>
  <c r="E295" i="36"/>
  <c r="G284" i="36"/>
  <c r="G223" i="36"/>
  <c r="G175" i="36"/>
  <c r="G168" i="36" s="1"/>
  <c r="G297" i="36"/>
  <c r="G290" i="36" s="1"/>
  <c r="G236" i="36"/>
  <c r="G229" i="36" s="1"/>
  <c r="S34" i="25"/>
  <c r="AO59" i="26"/>
  <c r="AN46" i="32"/>
  <c r="AN71" i="26"/>
  <c r="AO69" i="27"/>
  <c r="T59" i="25"/>
  <c r="G137" i="36"/>
  <c r="G139" i="36" s="1"/>
  <c r="J257" i="36"/>
  <c r="J263" i="36"/>
  <c r="J254" i="36"/>
  <c r="J260" i="36"/>
  <c r="O65" i="25"/>
  <c r="O74" i="25" s="1"/>
  <c r="O80" i="25"/>
  <c r="E246" i="36"/>
  <c r="E250" i="36"/>
  <c r="O156" i="25"/>
  <c r="O175" i="25" s="1"/>
  <c r="O152" i="25"/>
  <c r="O171" i="25" s="1"/>
  <c r="O151" i="25"/>
  <c r="O170" i="25" s="1"/>
  <c r="O150" i="25"/>
  <c r="O169" i="25" s="1"/>
  <c r="O154" i="25"/>
  <c r="O173" i="25" s="1"/>
  <c r="Q135" i="25"/>
  <c r="Q204" i="25" s="1"/>
  <c r="F278" i="36"/>
  <c r="F91" i="36"/>
  <c r="F92" i="36" s="1"/>
  <c r="F217" i="36"/>
  <c r="E36" i="35"/>
  <c r="C15" i="77"/>
  <c r="C160" i="30"/>
  <c r="J315" i="36"/>
  <c r="J318" i="36"/>
  <c r="J321" i="36"/>
  <c r="J324" i="36"/>
  <c r="AL9" i="32"/>
  <c r="P69" i="25"/>
  <c r="E13" i="35"/>
  <c r="I87" i="36"/>
  <c r="Q78" i="25"/>
  <c r="Q29" i="25"/>
  <c r="Q97" i="25" s="1"/>
  <c r="E234" i="36"/>
  <c r="AL11" i="32"/>
  <c r="P71" i="25"/>
  <c r="H87" i="36"/>
  <c r="O162" i="25"/>
  <c r="O181" i="25" s="1"/>
  <c r="O161" i="25"/>
  <c r="O180" i="25" s="1"/>
  <c r="O160" i="25"/>
  <c r="O179" i="25" s="1"/>
  <c r="O164" i="25"/>
  <c r="O183" i="25" s="1"/>
  <c r="Q88" i="25"/>
  <c r="D462" i="36"/>
  <c r="D449" i="36" s="1"/>
  <c r="D470" i="36" s="1"/>
  <c r="D409" i="36"/>
  <c r="D396" i="36" s="1"/>
  <c r="D417" i="36" s="1"/>
  <c r="D356" i="36"/>
  <c r="D343" i="36" s="1"/>
  <c r="D364" i="36" s="1"/>
  <c r="D166" i="36"/>
  <c r="D160" i="36" s="1"/>
  <c r="D186" i="36" s="1"/>
  <c r="E30" i="35"/>
  <c r="E253" i="36"/>
  <c r="E255" i="36" s="1"/>
  <c r="E270" i="36" s="1"/>
  <c r="E256" i="36"/>
  <c r="E258" i="36" s="1"/>
  <c r="E271" i="36" s="1"/>
  <c r="E307" i="36"/>
  <c r="E311" i="36"/>
  <c r="AL50" i="32"/>
  <c r="AL75" i="26"/>
  <c r="Q146" i="25"/>
  <c r="Q215" i="25" s="1"/>
  <c r="D97" i="36"/>
  <c r="M94" i="25"/>
  <c r="O165" i="25"/>
  <c r="O184" i="25" s="1"/>
  <c r="D352" i="36"/>
  <c r="D339" i="36" s="1"/>
  <c r="D458" i="36"/>
  <c r="D445" i="36" s="1"/>
  <c r="D405" i="36"/>
  <c r="D392" i="36" s="1"/>
  <c r="D162" i="36"/>
  <c r="D156" i="36" s="1"/>
  <c r="E52" i="35"/>
  <c r="C20" i="77"/>
  <c r="C165" i="30"/>
  <c r="J193" i="36"/>
  <c r="J202" i="36"/>
  <c r="J196" i="36"/>
  <c r="J199" i="36"/>
  <c r="AK14" i="32"/>
  <c r="AL6" i="32"/>
  <c r="P66" i="25"/>
  <c r="E195" i="36"/>
  <c r="E197" i="36" s="1"/>
  <c r="E210" i="36" s="1"/>
  <c r="F11" i="35" s="1"/>
  <c r="K144" i="36"/>
  <c r="K150" i="36"/>
  <c r="K147" i="36"/>
  <c r="K141" i="36"/>
  <c r="K174" i="36"/>
  <c r="K235" i="36"/>
  <c r="K296" i="36"/>
  <c r="S79" i="25"/>
  <c r="S56" i="25"/>
  <c r="T60" i="25"/>
  <c r="AO70" i="27"/>
  <c r="D132" i="36"/>
  <c r="D134" i="36"/>
  <c r="D131" i="36"/>
  <c r="D133" i="36"/>
  <c r="AO68" i="27"/>
  <c r="T58" i="25"/>
  <c r="AO63" i="27"/>
  <c r="E26" i="35"/>
  <c r="F313" i="36"/>
  <c r="F330" i="36" s="1"/>
  <c r="G43" i="35" s="1"/>
  <c r="F310" i="36"/>
  <c r="M100" i="25"/>
  <c r="D98" i="36"/>
  <c r="F320" i="36"/>
  <c r="F322" i="36" s="1"/>
  <c r="F333" i="36" s="1"/>
  <c r="G46" i="35" s="1"/>
  <c r="F295" i="36"/>
  <c r="F317" i="36"/>
  <c r="F319" i="36" s="1"/>
  <c r="F332" i="36" s="1"/>
  <c r="G45" i="35" s="1"/>
  <c r="AN69" i="26"/>
  <c r="AN44" i="32"/>
  <c r="AO57" i="26"/>
  <c r="S32" i="25"/>
  <c r="O86" i="25"/>
  <c r="Q144" i="25"/>
  <c r="Q213" i="25" s="1"/>
  <c r="Q145" i="25"/>
  <c r="Q214" i="25" s="1"/>
  <c r="E11" i="35"/>
  <c r="R134" i="25"/>
  <c r="R203" i="25" s="1"/>
  <c r="I102" i="36"/>
  <c r="R144" i="25"/>
  <c r="R213" i="25" s="1"/>
  <c r="R92" i="25"/>
  <c r="P67" i="25"/>
  <c r="AL7" i="32"/>
  <c r="E10" i="35"/>
  <c r="F19" i="35"/>
  <c r="F102" i="35"/>
  <c r="F101" i="35" s="1"/>
  <c r="F86" i="35"/>
  <c r="F85" i="35" s="1"/>
  <c r="F53" i="35"/>
  <c r="F70" i="35"/>
  <c r="F69" i="35" s="1"/>
  <c r="F37" i="35"/>
  <c r="E130" i="36"/>
  <c r="E96" i="36"/>
  <c r="E94" i="36"/>
  <c r="E95" i="36"/>
  <c r="E93" i="36"/>
  <c r="P72" i="25"/>
  <c r="AL12" i="32"/>
  <c r="AN75" i="27"/>
  <c r="E120" i="36"/>
  <c r="S84" i="25" l="1"/>
  <c r="D135" i="36"/>
  <c r="D136" i="36" s="1"/>
  <c r="F253" i="36"/>
  <c r="F255" i="36" s="1"/>
  <c r="F270" i="36" s="1"/>
  <c r="G28" i="35" s="1"/>
  <c r="F201" i="36"/>
  <c r="F203" i="36" s="1"/>
  <c r="F212" i="36" s="1"/>
  <c r="G13" i="35" s="1"/>
  <c r="E312" i="36"/>
  <c r="E329" i="36" s="1"/>
  <c r="F42" i="35" s="1"/>
  <c r="F234" i="36"/>
  <c r="F195" i="36"/>
  <c r="F197" i="36" s="1"/>
  <c r="F210" i="36" s="1"/>
  <c r="G11" i="35" s="1"/>
  <c r="G44" i="35"/>
  <c r="F405" i="36"/>
  <c r="F392" i="36" s="1"/>
  <c r="F352" i="36"/>
  <c r="F339" i="36" s="1"/>
  <c r="F458" i="36"/>
  <c r="F445" i="36" s="1"/>
  <c r="F162" i="36"/>
  <c r="F156" i="36" s="1"/>
  <c r="H223" i="36"/>
  <c r="H284" i="36"/>
  <c r="H236" i="36"/>
  <c r="H229" i="36" s="1"/>
  <c r="H297" i="36"/>
  <c r="H290" i="36" s="1"/>
  <c r="H175" i="36"/>
  <c r="H168" i="36" s="1"/>
  <c r="S92" i="25"/>
  <c r="J102" i="36"/>
  <c r="F307" i="36"/>
  <c r="F311" i="36"/>
  <c r="F312" i="36" s="1"/>
  <c r="F329" i="36" s="1"/>
  <c r="G42" i="35" s="1"/>
  <c r="D188" i="36"/>
  <c r="D183" i="36"/>
  <c r="D191" i="36"/>
  <c r="D208" i="36" s="1"/>
  <c r="AM8" i="32"/>
  <c r="Q68" i="25"/>
  <c r="AN68" i="26"/>
  <c r="AO56" i="26"/>
  <c r="AN43" i="32"/>
  <c r="S31" i="25"/>
  <c r="AN63" i="26"/>
  <c r="F36" i="35"/>
  <c r="D160" i="30"/>
  <c r="D15" i="77"/>
  <c r="AM12" i="32"/>
  <c r="Q72" i="25"/>
  <c r="J87" i="36"/>
  <c r="Q178" i="25"/>
  <c r="R168" i="25"/>
  <c r="G226" i="36"/>
  <c r="G220" i="36" s="1"/>
  <c r="G287" i="36"/>
  <c r="G281" i="36" s="1"/>
  <c r="G178" i="36"/>
  <c r="G171" i="36" s="1"/>
  <c r="G239" i="36"/>
  <c r="G232" i="36" s="1"/>
  <c r="G300" i="36"/>
  <c r="G293" i="36" s="1"/>
  <c r="E460" i="36"/>
  <c r="E447" i="36" s="1"/>
  <c r="E354" i="36"/>
  <c r="E341" i="36" s="1"/>
  <c r="E407" i="36"/>
  <c r="E394" i="36" s="1"/>
  <c r="E164" i="36"/>
  <c r="E158" i="36" s="1"/>
  <c r="E184" i="36" s="1"/>
  <c r="F18" i="35"/>
  <c r="D10" i="77"/>
  <c r="D155" i="30"/>
  <c r="I149" i="36"/>
  <c r="I151" i="36" s="1"/>
  <c r="I143" i="36"/>
  <c r="I145" i="36" s="1"/>
  <c r="I140" i="36"/>
  <c r="I142" i="36" s="1"/>
  <c r="I146" i="36"/>
  <c r="I148" i="36" s="1"/>
  <c r="I107" i="36"/>
  <c r="I109" i="36" s="1"/>
  <c r="AO44" i="32"/>
  <c r="AO69" i="26"/>
  <c r="T32" i="25"/>
  <c r="K315" i="36"/>
  <c r="K324" i="36"/>
  <c r="K321" i="36"/>
  <c r="K318" i="36"/>
  <c r="P80" i="25"/>
  <c r="P65" i="25"/>
  <c r="P74" i="25" s="1"/>
  <c r="C21" i="77"/>
  <c r="C22" i="77"/>
  <c r="C23" i="77" s="1"/>
  <c r="F28" i="35"/>
  <c r="H115" i="36"/>
  <c r="H137" i="36"/>
  <c r="H139" i="36" s="1"/>
  <c r="AM9" i="32"/>
  <c r="Q69" i="25"/>
  <c r="T85" i="25"/>
  <c r="G225" i="36"/>
  <c r="G219" i="36" s="1"/>
  <c r="G245" i="36" s="1"/>
  <c r="G286" i="36"/>
  <c r="G280" i="36" s="1"/>
  <c r="G306" i="36" s="1"/>
  <c r="G177" i="36"/>
  <c r="G170" i="36" s="1"/>
  <c r="G238" i="36"/>
  <c r="G231" i="36" s="1"/>
  <c r="G299" i="36"/>
  <c r="G292" i="36" s="1"/>
  <c r="C157" i="30"/>
  <c r="C158" i="30" s="1"/>
  <c r="C156" i="30"/>
  <c r="G278" i="36"/>
  <c r="G217" i="36"/>
  <c r="G91" i="36"/>
  <c r="G92" i="36" s="1"/>
  <c r="F47" i="35"/>
  <c r="D398" i="36"/>
  <c r="D419" i="36" s="1"/>
  <c r="D436" i="36" s="1"/>
  <c r="D399" i="36"/>
  <c r="D420" i="36" s="1"/>
  <c r="D437" i="36" s="1"/>
  <c r="D415" i="36"/>
  <c r="E98" i="36"/>
  <c r="N100" i="25"/>
  <c r="F252" i="36"/>
  <c r="F269" i="36" s="1"/>
  <c r="G27" i="35" s="1"/>
  <c r="AM7" i="32"/>
  <c r="Q67" i="25"/>
  <c r="C167" i="30"/>
  <c r="C168" i="30" s="1"/>
  <c r="C166" i="30"/>
  <c r="E462" i="36"/>
  <c r="E449" i="36" s="1"/>
  <c r="E470" i="36" s="1"/>
  <c r="E356" i="36"/>
  <c r="E343" i="36" s="1"/>
  <c r="E364" i="36" s="1"/>
  <c r="E409" i="36"/>
  <c r="E396" i="36" s="1"/>
  <c r="E417" i="36" s="1"/>
  <c r="E166" i="36"/>
  <c r="E160" i="36" s="1"/>
  <c r="E186" i="36" s="1"/>
  <c r="H110" i="36"/>
  <c r="T56" i="25"/>
  <c r="T79" i="25"/>
  <c r="K254" i="36"/>
  <c r="K257" i="36"/>
  <c r="K263" i="36"/>
  <c r="K260" i="36"/>
  <c r="AM6" i="32"/>
  <c r="Q66" i="25"/>
  <c r="AL14" i="32"/>
  <c r="C169" i="30"/>
  <c r="C170" i="30" s="1"/>
  <c r="C24" i="77"/>
  <c r="C25" i="77" s="1"/>
  <c r="C19" i="77" s="1"/>
  <c r="D124" i="36"/>
  <c r="D304" i="36"/>
  <c r="D309" i="36" s="1"/>
  <c r="D243" i="36"/>
  <c r="O81" i="25"/>
  <c r="O93" i="25"/>
  <c r="G227" i="36"/>
  <c r="G221" i="36" s="1"/>
  <c r="G247" i="36" s="1"/>
  <c r="G288" i="36"/>
  <c r="G282" i="36" s="1"/>
  <c r="G308" i="36" s="1"/>
  <c r="G240" i="36"/>
  <c r="G233" i="36" s="1"/>
  <c r="G301" i="36"/>
  <c r="G294" i="36" s="1"/>
  <c r="G179" i="36"/>
  <c r="G172" i="36" s="1"/>
  <c r="I115" i="36"/>
  <c r="C11" i="77"/>
  <c r="C9" i="77" s="1"/>
  <c r="C12" i="77"/>
  <c r="C13" i="77" s="1"/>
  <c r="F12" i="35"/>
  <c r="D468" i="36"/>
  <c r="D451" i="36"/>
  <c r="D472" i="36" s="1"/>
  <c r="D489" i="36" s="1"/>
  <c r="D452" i="36"/>
  <c r="D473" i="36" s="1"/>
  <c r="D490" i="36" s="1"/>
  <c r="F27" i="35"/>
  <c r="D125" i="36"/>
  <c r="D244" i="36"/>
  <c r="D305" i="36"/>
  <c r="E461" i="36"/>
  <c r="E448" i="36" s="1"/>
  <c r="E408" i="36"/>
  <c r="E395" i="36" s="1"/>
  <c r="E355" i="36"/>
  <c r="E342" i="36" s="1"/>
  <c r="E165" i="36"/>
  <c r="E159" i="36" s="1"/>
  <c r="F29" i="35"/>
  <c r="E131" i="36"/>
  <c r="E133" i="36"/>
  <c r="E134" i="36"/>
  <c r="E132" i="36"/>
  <c r="AO75" i="27"/>
  <c r="K202" i="36"/>
  <c r="K193" i="36"/>
  <c r="K199" i="36"/>
  <c r="K196" i="36"/>
  <c r="D182" i="36"/>
  <c r="D161" i="36"/>
  <c r="AM11" i="32"/>
  <c r="Q71" i="25"/>
  <c r="F222" i="36"/>
  <c r="F46" i="35"/>
  <c r="P162" i="25"/>
  <c r="P181" i="25" s="1"/>
  <c r="P160" i="25"/>
  <c r="P179" i="25" s="1"/>
  <c r="P161" i="25"/>
  <c r="P180" i="25" s="1"/>
  <c r="P164" i="25"/>
  <c r="P183" i="25" s="1"/>
  <c r="F45" i="35"/>
  <c r="F43" i="35"/>
  <c r="R137" i="25"/>
  <c r="R206" i="25" s="1"/>
  <c r="R133" i="25"/>
  <c r="R202" i="25" s="1"/>
  <c r="R132" i="25"/>
  <c r="R201" i="25" s="1"/>
  <c r="R131" i="25"/>
  <c r="R200" i="25" s="1"/>
  <c r="D345" i="36"/>
  <c r="D382" i="36" s="1"/>
  <c r="D362" i="36"/>
  <c r="D346" i="36"/>
  <c r="D366" i="36" s="1"/>
  <c r="D383" i="36" s="1"/>
  <c r="E251" i="36"/>
  <c r="E268" i="36" s="1"/>
  <c r="F262" i="36"/>
  <c r="F264" i="36" s="1"/>
  <c r="F273" i="36" s="1"/>
  <c r="D397" i="36"/>
  <c r="D414" i="36"/>
  <c r="D418" i="36" s="1"/>
  <c r="E97" i="36"/>
  <c r="N94" i="25"/>
  <c r="H113" i="36"/>
  <c r="H111" i="36"/>
  <c r="H112" i="36"/>
  <c r="P156" i="25"/>
  <c r="P175" i="25" s="1"/>
  <c r="P152" i="25"/>
  <c r="P171" i="25" s="1"/>
  <c r="P151" i="25"/>
  <c r="P170" i="25" s="1"/>
  <c r="P150" i="25"/>
  <c r="P169" i="25" s="1"/>
  <c r="P154" i="25"/>
  <c r="P173" i="25" s="1"/>
  <c r="AM10" i="32"/>
  <c r="Q70" i="25"/>
  <c r="R143" i="25"/>
  <c r="R212" i="25" s="1"/>
  <c r="R142" i="25"/>
  <c r="R211" i="25" s="1"/>
  <c r="R141" i="25"/>
  <c r="R210" i="25" s="1"/>
  <c r="D467" i="36"/>
  <c r="D450" i="36"/>
  <c r="Q159" i="25"/>
  <c r="Q165" i="25" s="1"/>
  <c r="Q184" i="25" s="1"/>
  <c r="Q149" i="25"/>
  <c r="Q155" i="25" s="1"/>
  <c r="Q174" i="25" s="1"/>
  <c r="Q75" i="25"/>
  <c r="Q101" i="25" s="1"/>
  <c r="G102" i="35"/>
  <c r="G101" i="35" s="1"/>
  <c r="F130" i="36"/>
  <c r="G53" i="35"/>
  <c r="G86" i="35"/>
  <c r="G85" i="35" s="1"/>
  <c r="G19" i="35"/>
  <c r="G37" i="35"/>
  <c r="G70" i="35"/>
  <c r="G69" i="35" s="1"/>
  <c r="F96" i="36"/>
  <c r="F94" i="36"/>
  <c r="F95" i="36"/>
  <c r="F93" i="36"/>
  <c r="J103" i="36"/>
  <c r="S98" i="25"/>
  <c r="S88" i="25"/>
  <c r="F119" i="36"/>
  <c r="F123" i="36"/>
  <c r="F121" i="36"/>
  <c r="F122" i="36"/>
  <c r="F120" i="36"/>
  <c r="D20" i="77"/>
  <c r="F52" i="35"/>
  <c r="D165" i="30"/>
  <c r="F323" i="36"/>
  <c r="F325" i="36" s="1"/>
  <c r="F334" i="36" s="1"/>
  <c r="G47" i="35" s="1"/>
  <c r="D344" i="36"/>
  <c r="D361" i="36"/>
  <c r="H86" i="36"/>
  <c r="Q153" i="25"/>
  <c r="Q172" i="25" s="1"/>
  <c r="Q91" i="25"/>
  <c r="Q82" i="25"/>
  <c r="C161" i="30"/>
  <c r="C162" i="30"/>
  <c r="C163" i="30" s="1"/>
  <c r="F283" i="36"/>
  <c r="AO46" i="32"/>
  <c r="AO71" i="26"/>
  <c r="T34" i="25"/>
  <c r="D469" i="36"/>
  <c r="P155" i="25"/>
  <c r="P174" i="25" s="1"/>
  <c r="G114" i="36"/>
  <c r="P95" i="25"/>
  <c r="R136" i="25"/>
  <c r="R205" i="25" s="1"/>
  <c r="AM13" i="32"/>
  <c r="Q73" i="25"/>
  <c r="F259" i="36"/>
  <c r="F261" i="36" s="1"/>
  <c r="F272" i="36" s="1"/>
  <c r="AM75" i="26"/>
  <c r="AM50" i="32"/>
  <c r="F192" i="36"/>
  <c r="F194" i="36" s="1"/>
  <c r="F209" i="36" s="1"/>
  <c r="E459" i="36"/>
  <c r="E446" i="36" s="1"/>
  <c r="E450" i="36" s="1"/>
  <c r="E406" i="36"/>
  <c r="E393" i="36" s="1"/>
  <c r="E353" i="36"/>
  <c r="E340" i="36" s="1"/>
  <c r="E163" i="36"/>
  <c r="E157" i="36" s="1"/>
  <c r="E161" i="36" s="1"/>
  <c r="O99" i="25"/>
  <c r="O87" i="25"/>
  <c r="S130" i="25"/>
  <c r="S135" i="25" s="1"/>
  <c r="S204" i="25" s="1"/>
  <c r="S140" i="25"/>
  <c r="S146" i="25" s="1"/>
  <c r="S215" i="25" s="1"/>
  <c r="I137" i="36"/>
  <c r="I139" i="36" s="1"/>
  <c r="C17" i="77"/>
  <c r="C18" i="77" s="1"/>
  <c r="C16" i="77"/>
  <c r="G224" i="36"/>
  <c r="G218" i="36" s="1"/>
  <c r="G285" i="36"/>
  <c r="G279" i="36" s="1"/>
  <c r="G176" i="36"/>
  <c r="G169" i="36" s="1"/>
  <c r="G237" i="36"/>
  <c r="G230" i="36" s="1"/>
  <c r="G253" i="36" s="1"/>
  <c r="G255" i="36" s="1"/>
  <c r="G270" i="36" s="1"/>
  <c r="G298" i="36"/>
  <c r="G291" i="36" s="1"/>
  <c r="G320" i="36" s="1"/>
  <c r="G322" i="36" s="1"/>
  <c r="G333" i="36" s="1"/>
  <c r="E361" i="36"/>
  <c r="D363" i="36"/>
  <c r="D189" i="36"/>
  <c r="D185" i="36"/>
  <c r="P163" i="25"/>
  <c r="P182" i="25" s="1"/>
  <c r="F250" i="36"/>
  <c r="F251" i="36" s="1"/>
  <c r="F268" i="36" s="1"/>
  <c r="G26" i="35" s="1"/>
  <c r="F246" i="36"/>
  <c r="R146" i="25"/>
  <c r="R215" i="25" s="1"/>
  <c r="P209" i="25"/>
  <c r="Q199" i="25"/>
  <c r="P86" i="25"/>
  <c r="R78" i="25"/>
  <c r="R29" i="25"/>
  <c r="Q163" i="25" l="1"/>
  <c r="Q182" i="25" s="1"/>
  <c r="E416" i="36"/>
  <c r="S145" i="25"/>
  <c r="S214" i="25" s="1"/>
  <c r="E363" i="36"/>
  <c r="D365" i="36"/>
  <c r="D381" i="36" s="1"/>
  <c r="D471" i="36"/>
  <c r="D435" i="36"/>
  <c r="D442" i="36" s="1"/>
  <c r="E135" i="36"/>
  <c r="E136" i="36" s="1"/>
  <c r="G198" i="36"/>
  <c r="G200" i="36" s="1"/>
  <c r="G211" i="36" s="1"/>
  <c r="H12" i="35" s="1"/>
  <c r="C159" i="30"/>
  <c r="D129" i="36"/>
  <c r="D328" i="36" s="1"/>
  <c r="G317" i="36"/>
  <c r="G319" i="36" s="1"/>
  <c r="G332" i="36" s="1"/>
  <c r="H45" i="35" s="1"/>
  <c r="I110" i="36"/>
  <c r="I224" i="36" s="1"/>
  <c r="I218" i="36" s="1"/>
  <c r="G234" i="36"/>
  <c r="C154" i="30"/>
  <c r="H26" i="78" s="1"/>
  <c r="H46" i="35"/>
  <c r="H28" i="35"/>
  <c r="I223" i="36"/>
  <c r="I284" i="36"/>
  <c r="I297" i="36"/>
  <c r="I290" i="36" s="1"/>
  <c r="I175" i="36"/>
  <c r="I168" i="36" s="1"/>
  <c r="I236" i="36"/>
  <c r="I229" i="36" s="1"/>
  <c r="E362" i="36"/>
  <c r="E346" i="36"/>
  <c r="E366" i="36" s="1"/>
  <c r="E383" i="36" s="1"/>
  <c r="F60" i="35" s="1"/>
  <c r="E345" i="36"/>
  <c r="E382" i="36" s="1"/>
  <c r="F59" i="35" s="1"/>
  <c r="E59" i="35"/>
  <c r="G310" i="36"/>
  <c r="G313" i="36"/>
  <c r="G330" i="36" s="1"/>
  <c r="E398" i="36"/>
  <c r="E419" i="36" s="1"/>
  <c r="E436" i="36" s="1"/>
  <c r="F75" i="35" s="1"/>
  <c r="E399" i="36"/>
  <c r="E420" i="36" s="1"/>
  <c r="E437" i="36" s="1"/>
  <c r="F76" i="35" s="1"/>
  <c r="E415" i="36"/>
  <c r="I285" i="36"/>
  <c r="I279" i="36" s="1"/>
  <c r="I176" i="36"/>
  <c r="I169" i="36" s="1"/>
  <c r="I237" i="36"/>
  <c r="I230" i="36" s="1"/>
  <c r="I298" i="36"/>
  <c r="I291" i="36" s="1"/>
  <c r="E58" i="35"/>
  <c r="D388" i="36"/>
  <c r="F406" i="36"/>
  <c r="F393" i="36" s="1"/>
  <c r="F459" i="36"/>
  <c r="F446" i="36" s="1"/>
  <c r="F353" i="36"/>
  <c r="F340" i="36" s="1"/>
  <c r="F163" i="36"/>
  <c r="F157" i="36" s="1"/>
  <c r="E20" i="77"/>
  <c r="G52" i="35"/>
  <c r="E165" i="30"/>
  <c r="E124" i="36"/>
  <c r="E243" i="36"/>
  <c r="E304" i="36"/>
  <c r="G192" i="36"/>
  <c r="G194" i="36" s="1"/>
  <c r="G209" i="36" s="1"/>
  <c r="H10" i="35" s="1"/>
  <c r="E76" i="35"/>
  <c r="G283" i="36"/>
  <c r="D190" i="36"/>
  <c r="D207" i="36" s="1"/>
  <c r="H59" i="78"/>
  <c r="H63" i="21"/>
  <c r="F408" i="36"/>
  <c r="F395" i="36" s="1"/>
  <c r="F461" i="36"/>
  <c r="F448" i="36" s="1"/>
  <c r="F355" i="36"/>
  <c r="F342" i="36" s="1"/>
  <c r="F165" i="36"/>
  <c r="F159" i="36" s="1"/>
  <c r="G173" i="36"/>
  <c r="AN7" i="32"/>
  <c r="R67" i="25"/>
  <c r="E75" i="35"/>
  <c r="R69" i="25"/>
  <c r="AN9" i="32"/>
  <c r="E469" i="36"/>
  <c r="AN12" i="32"/>
  <c r="R72" i="25"/>
  <c r="AO43" i="32"/>
  <c r="T31" i="25"/>
  <c r="AO68" i="26"/>
  <c r="AO63" i="26"/>
  <c r="S144" i="25"/>
  <c r="S213" i="25" s="1"/>
  <c r="C14" i="77"/>
  <c r="G10" i="35"/>
  <c r="G119" i="36"/>
  <c r="G123" i="36"/>
  <c r="G121" i="36"/>
  <c r="G122" i="36"/>
  <c r="E182" i="36"/>
  <c r="F407" i="36"/>
  <c r="F394" i="36" s="1"/>
  <c r="F416" i="36" s="1"/>
  <c r="F354" i="36"/>
  <c r="F341" i="36" s="1"/>
  <c r="F363" i="36" s="1"/>
  <c r="F460" i="36"/>
  <c r="F447" i="36" s="1"/>
  <c r="F164" i="36"/>
  <c r="F158" i="36" s="1"/>
  <c r="F184" i="36" s="1"/>
  <c r="G195" i="36"/>
  <c r="G197" i="36" s="1"/>
  <c r="G210" i="36" s="1"/>
  <c r="C164" i="30"/>
  <c r="K102" i="36"/>
  <c r="T92" i="25"/>
  <c r="G256" i="36"/>
  <c r="G258" i="36" s="1"/>
  <c r="G271" i="36" s="1"/>
  <c r="G314" i="36"/>
  <c r="G316" i="36" s="1"/>
  <c r="G331" i="36" s="1"/>
  <c r="P93" i="25"/>
  <c r="P81" i="25"/>
  <c r="D16" i="77"/>
  <c r="D17" i="77"/>
  <c r="D18" i="77" s="1"/>
  <c r="J107" i="36"/>
  <c r="J109" i="36"/>
  <c r="J140" i="36"/>
  <c r="J142" i="36" s="1"/>
  <c r="J143" i="36"/>
  <c r="J145" i="36" s="1"/>
  <c r="J146" i="36"/>
  <c r="J148" i="36" s="1"/>
  <c r="J149" i="36"/>
  <c r="J151" i="36" s="1"/>
  <c r="S136" i="25"/>
  <c r="S205" i="25" s="1"/>
  <c r="H114" i="36"/>
  <c r="Q95" i="25"/>
  <c r="G201" i="36"/>
  <c r="G203" i="36" s="1"/>
  <c r="G212" i="36" s="1"/>
  <c r="G259" i="36"/>
  <c r="G261" i="36" s="1"/>
  <c r="G272" i="36" s="1"/>
  <c r="H30" i="35" s="1"/>
  <c r="D157" i="30"/>
  <c r="D158" i="30" s="1"/>
  <c r="D156" i="30"/>
  <c r="D154" i="30" s="1"/>
  <c r="D161" i="30"/>
  <c r="D162" i="30"/>
  <c r="D163" i="30" s="1"/>
  <c r="S134" i="25"/>
  <c r="S203" i="25" s="1"/>
  <c r="E451" i="36"/>
  <c r="E472" i="36" s="1"/>
  <c r="E489" i="36" s="1"/>
  <c r="F91" i="35" s="1"/>
  <c r="E452" i="36"/>
  <c r="E473" i="36" s="1"/>
  <c r="E490" i="36" s="1"/>
  <c r="F92" i="35" s="1"/>
  <c r="E468" i="36"/>
  <c r="F132" i="36"/>
  <c r="F134" i="36"/>
  <c r="F131" i="36"/>
  <c r="F133" i="36"/>
  <c r="J115" i="36"/>
  <c r="G31" i="35"/>
  <c r="F98" i="36"/>
  <c r="O100" i="25"/>
  <c r="D24" i="77"/>
  <c r="D25" i="77" s="1"/>
  <c r="D169" i="30"/>
  <c r="D170" i="30" s="1"/>
  <c r="Q156" i="25"/>
  <c r="Q175" i="25" s="1"/>
  <c r="Q152" i="25"/>
  <c r="Q171" i="25" s="1"/>
  <c r="Q150" i="25"/>
  <c r="Q169" i="25" s="1"/>
  <c r="Q151" i="25"/>
  <c r="Q170" i="25" s="1"/>
  <c r="Q154" i="25"/>
  <c r="Q173" i="25" s="1"/>
  <c r="H226" i="36"/>
  <c r="H220" i="36" s="1"/>
  <c r="H287" i="36"/>
  <c r="H281" i="36" s="1"/>
  <c r="H300" i="36"/>
  <c r="H293" i="36" s="1"/>
  <c r="H178" i="36"/>
  <c r="H171" i="36" s="1"/>
  <c r="H239" i="36"/>
  <c r="H232" i="36" s="1"/>
  <c r="F26" i="35"/>
  <c r="D187" i="36"/>
  <c r="D206" i="36" s="1"/>
  <c r="E185" i="36"/>
  <c r="E189" i="36"/>
  <c r="Q80" i="25"/>
  <c r="Q65" i="25"/>
  <c r="Q74" i="25" s="1"/>
  <c r="H285" i="36"/>
  <c r="H279" i="36" s="1"/>
  <c r="H224" i="36"/>
  <c r="H218" i="36" s="1"/>
  <c r="H237" i="36"/>
  <c r="H230" i="36" s="1"/>
  <c r="H298" i="36"/>
  <c r="H291" i="36" s="1"/>
  <c r="H317" i="36" s="1"/>
  <c r="H319" i="36" s="1"/>
  <c r="H332" i="36" s="1"/>
  <c r="I45" i="35" s="1"/>
  <c r="H176" i="36"/>
  <c r="H169" i="36" s="1"/>
  <c r="H198" i="36" s="1"/>
  <c r="H200" i="36" s="1"/>
  <c r="H211" i="36" s="1"/>
  <c r="I12" i="35" s="1"/>
  <c r="G262" i="36"/>
  <c r="G264" i="36" s="1"/>
  <c r="G273" i="36" s="1"/>
  <c r="H31" i="35" s="1"/>
  <c r="E467" i="36"/>
  <c r="G295" i="36"/>
  <c r="H120" i="36"/>
  <c r="D12" i="77"/>
  <c r="D13" i="77" s="1"/>
  <c r="D11" i="77"/>
  <c r="D9" i="77" s="1"/>
  <c r="J137" i="36"/>
  <c r="J139" i="36" s="1"/>
  <c r="Q86" i="25"/>
  <c r="E74" i="35"/>
  <c r="E344" i="36"/>
  <c r="D167" i="30"/>
  <c r="D168" i="30" s="1"/>
  <c r="D166" i="30"/>
  <c r="F409" i="36"/>
  <c r="F396" i="36" s="1"/>
  <c r="F417" i="36" s="1"/>
  <c r="F462" i="36"/>
  <c r="F449" i="36" s="1"/>
  <c r="F470" i="36" s="1"/>
  <c r="F356" i="36"/>
  <c r="F343" i="36" s="1"/>
  <c r="F364" i="36" s="1"/>
  <c r="F166" i="36"/>
  <c r="F160" i="36" s="1"/>
  <c r="F186" i="36" s="1"/>
  <c r="T130" i="25"/>
  <c r="T134" i="25" s="1"/>
  <c r="T203" i="25" s="1"/>
  <c r="T140" i="25"/>
  <c r="T146" i="25" s="1"/>
  <c r="T215" i="25" s="1"/>
  <c r="I86" i="36"/>
  <c r="R91" i="25"/>
  <c r="R82" i="25"/>
  <c r="E365" i="36"/>
  <c r="P87" i="25"/>
  <c r="P99" i="25"/>
  <c r="G30" i="35"/>
  <c r="D22" i="77"/>
  <c r="D23" i="77" s="1"/>
  <c r="D21" i="77"/>
  <c r="E15" i="77"/>
  <c r="G36" i="35"/>
  <c r="E160" i="30"/>
  <c r="Q162" i="25"/>
  <c r="Q181" i="25" s="1"/>
  <c r="Q160" i="25"/>
  <c r="Q179" i="25" s="1"/>
  <c r="Q161" i="25"/>
  <c r="Q180" i="25" s="1"/>
  <c r="Q164" i="25"/>
  <c r="Q183" i="25" s="1"/>
  <c r="H286" i="36"/>
  <c r="H280" i="36" s="1"/>
  <c r="H306" i="36" s="1"/>
  <c r="H225" i="36"/>
  <c r="H219" i="36" s="1"/>
  <c r="H245" i="36" s="1"/>
  <c r="H299" i="36"/>
  <c r="H292" i="36" s="1"/>
  <c r="H177" i="36"/>
  <c r="H170" i="36" s="1"/>
  <c r="H173" i="36" s="1"/>
  <c r="H238" i="36"/>
  <c r="H231" i="36" s="1"/>
  <c r="H259" i="36" s="1"/>
  <c r="H261" i="36" s="1"/>
  <c r="H272" i="36" s="1"/>
  <c r="I30" i="35" s="1"/>
  <c r="E60" i="35"/>
  <c r="F97" i="36"/>
  <c r="F361" i="36" s="1"/>
  <c r="O94" i="25"/>
  <c r="AN6" i="32"/>
  <c r="R66" i="25"/>
  <c r="AM14" i="32"/>
  <c r="E125" i="36"/>
  <c r="E305" i="36"/>
  <c r="E244" i="36"/>
  <c r="G323" i="36"/>
  <c r="G325" i="36" s="1"/>
  <c r="G334" i="36" s="1"/>
  <c r="H47" i="35" s="1"/>
  <c r="I113" i="36"/>
  <c r="I112" i="36"/>
  <c r="I111" i="36"/>
  <c r="G307" i="36"/>
  <c r="G311" i="36"/>
  <c r="AN8" i="32"/>
  <c r="R68" i="25"/>
  <c r="F414" i="36"/>
  <c r="G249" i="36"/>
  <c r="G252" i="36"/>
  <c r="G269" i="36" s="1"/>
  <c r="AN11" i="32"/>
  <c r="R71" i="25"/>
  <c r="G352" i="36"/>
  <c r="G339" i="36" s="1"/>
  <c r="G458" i="36"/>
  <c r="G445" i="36" s="1"/>
  <c r="G405" i="36"/>
  <c r="G392" i="36" s="1"/>
  <c r="G162" i="36"/>
  <c r="G156" i="36" s="1"/>
  <c r="R149" i="25"/>
  <c r="R153" i="25" s="1"/>
  <c r="R172" i="25" s="1"/>
  <c r="R159" i="25"/>
  <c r="R163" i="25" s="1"/>
  <c r="R182" i="25" s="1"/>
  <c r="R75" i="25"/>
  <c r="R101" i="25" s="1"/>
  <c r="R97" i="25"/>
  <c r="Q209" i="25"/>
  <c r="R199" i="25"/>
  <c r="S143" i="25"/>
  <c r="S212" i="25" s="1"/>
  <c r="S141" i="25"/>
  <c r="S210" i="25" s="1"/>
  <c r="S142" i="25"/>
  <c r="S211" i="25" s="1"/>
  <c r="E188" i="36"/>
  <c r="E190" i="36" s="1"/>
  <c r="E207" i="36" s="1"/>
  <c r="F8" i="35" s="1"/>
  <c r="E183" i="36"/>
  <c r="E191" i="36"/>
  <c r="E208" i="36" s="1"/>
  <c r="F9" i="35" s="1"/>
  <c r="J110" i="36"/>
  <c r="E155" i="30"/>
  <c r="E10" i="77"/>
  <c r="G18" i="35"/>
  <c r="AN10" i="32"/>
  <c r="R70" i="25"/>
  <c r="H288" i="36"/>
  <c r="H282" i="36" s="1"/>
  <c r="H308" i="36" s="1"/>
  <c r="H227" i="36"/>
  <c r="H221" i="36" s="1"/>
  <c r="H247" i="36" s="1"/>
  <c r="H240" i="36"/>
  <c r="H233" i="36" s="1"/>
  <c r="H179" i="36"/>
  <c r="H172" i="36" s="1"/>
  <c r="H301" i="36"/>
  <c r="H294" i="36" s="1"/>
  <c r="E92" i="35"/>
  <c r="D248" i="36"/>
  <c r="D267" i="36" s="1"/>
  <c r="G120" i="36"/>
  <c r="H102" i="35"/>
  <c r="H101" i="35" s="1"/>
  <c r="G130" i="36"/>
  <c r="H70" i="35"/>
  <c r="H69" i="35" s="1"/>
  <c r="H53" i="35"/>
  <c r="H86" i="35"/>
  <c r="H85" i="35" s="1"/>
  <c r="H37" i="35"/>
  <c r="H19" i="35"/>
  <c r="G96" i="36"/>
  <c r="G95" i="36"/>
  <c r="G94" i="36"/>
  <c r="G93" i="36"/>
  <c r="G246" i="36"/>
  <c r="G250" i="36"/>
  <c r="AN50" i="32"/>
  <c r="AN75" i="26"/>
  <c r="E9" i="35"/>
  <c r="E397" i="36"/>
  <c r="H320" i="36"/>
  <c r="H322" i="36" s="1"/>
  <c r="H333" i="36" s="1"/>
  <c r="I46" i="35" s="1"/>
  <c r="H295" i="36"/>
  <c r="S137" i="25"/>
  <c r="S206" i="25" s="1"/>
  <c r="S133" i="25"/>
  <c r="S202" i="25" s="1"/>
  <c r="S131" i="25"/>
  <c r="S200" i="25" s="1"/>
  <c r="S132" i="25"/>
  <c r="S201" i="25" s="1"/>
  <c r="AN13" i="32"/>
  <c r="R73" i="25"/>
  <c r="H278" i="36"/>
  <c r="H217" i="36"/>
  <c r="H91" i="36"/>
  <c r="H92" i="36"/>
  <c r="E91" i="35"/>
  <c r="G222" i="36"/>
  <c r="K103" i="36"/>
  <c r="T98" i="25"/>
  <c r="T145" i="25"/>
  <c r="T214" i="25" s="1"/>
  <c r="T135" i="25"/>
  <c r="T204" i="25" s="1"/>
  <c r="T84" i="25"/>
  <c r="R178" i="25"/>
  <c r="S168" i="25"/>
  <c r="S29" i="25"/>
  <c r="S78" i="25"/>
  <c r="E414" i="36"/>
  <c r="E418" i="36" s="1"/>
  <c r="E41" i="35" l="1"/>
  <c r="D335" i="36"/>
  <c r="R155" i="25"/>
  <c r="R174" i="25" s="1"/>
  <c r="D488" i="36"/>
  <c r="D14" i="77"/>
  <c r="H256" i="36"/>
  <c r="H258" i="36" s="1"/>
  <c r="H271" i="36" s="1"/>
  <c r="I29" i="35" s="1"/>
  <c r="R165" i="25"/>
  <c r="R184" i="25" s="1"/>
  <c r="H314" i="36"/>
  <c r="H316" i="36" s="1"/>
  <c r="H331" i="36" s="1"/>
  <c r="I44" i="35" s="1"/>
  <c r="H323" i="36"/>
  <c r="H325" i="36" s="1"/>
  <c r="H334" i="36" s="1"/>
  <c r="I47" i="35" s="1"/>
  <c r="H201" i="36"/>
  <c r="H203" i="36" s="1"/>
  <c r="H212" i="36" s="1"/>
  <c r="I13" i="35" s="1"/>
  <c r="H26" i="21"/>
  <c r="F450" i="36"/>
  <c r="F344" i="36"/>
  <c r="T136" i="25"/>
  <c r="T205" i="25" s="1"/>
  <c r="F160" i="30"/>
  <c r="F15" i="77"/>
  <c r="H36" i="35"/>
  <c r="K87" i="36"/>
  <c r="H352" i="36"/>
  <c r="H339" i="36" s="1"/>
  <c r="H458" i="36"/>
  <c r="H445" i="36" s="1"/>
  <c r="H405" i="36"/>
  <c r="H392" i="36" s="1"/>
  <c r="H162" i="36"/>
  <c r="H156" i="36" s="1"/>
  <c r="G356" i="36"/>
  <c r="G343" i="36" s="1"/>
  <c r="G364" i="36" s="1"/>
  <c r="G409" i="36"/>
  <c r="G396" i="36" s="1"/>
  <c r="G417" i="36" s="1"/>
  <c r="G462" i="36"/>
  <c r="G449" i="36" s="1"/>
  <c r="G470" i="36" s="1"/>
  <c r="G166" i="36"/>
  <c r="G160" i="36" s="1"/>
  <c r="G186" i="36" s="1"/>
  <c r="S159" i="25"/>
  <c r="S163" i="25" s="1"/>
  <c r="S182" i="25" s="1"/>
  <c r="S149" i="25"/>
  <c r="S153" i="25" s="1"/>
  <c r="S172" i="25" s="1"/>
  <c r="S97" i="25"/>
  <c r="S75" i="25"/>
  <c r="S101" i="25" s="1"/>
  <c r="E48" i="35"/>
  <c r="J18" i="71" s="1"/>
  <c r="H18" i="35"/>
  <c r="F155" i="30"/>
  <c r="F10" i="77"/>
  <c r="E25" i="35"/>
  <c r="D274" i="36"/>
  <c r="S199" i="25"/>
  <c r="R209" i="25"/>
  <c r="G251" i="36"/>
  <c r="G268" i="36" s="1"/>
  <c r="R86" i="25"/>
  <c r="E17" i="77"/>
  <c r="E18" i="77" s="1"/>
  <c r="E16" i="77"/>
  <c r="I114" i="36"/>
  <c r="R95" i="25"/>
  <c r="E7" i="35"/>
  <c r="D213" i="36"/>
  <c r="F125" i="36"/>
  <c r="F305" i="36"/>
  <c r="F244" i="36"/>
  <c r="D159" i="30"/>
  <c r="AO12" i="32"/>
  <c r="T72" i="25" s="1"/>
  <c r="S72" i="25"/>
  <c r="S69" i="25"/>
  <c r="AO9" i="32"/>
  <c r="T69" i="25" s="1"/>
  <c r="E129" i="36"/>
  <c r="E435" i="36" s="1"/>
  <c r="AO8" i="32"/>
  <c r="T68" i="25" s="1"/>
  <c r="S68" i="25"/>
  <c r="S70" i="25"/>
  <c r="AO10" i="32"/>
  <c r="T70" i="25" s="1"/>
  <c r="F397" i="36"/>
  <c r="H249" i="36"/>
  <c r="H252" i="36"/>
  <c r="H269" i="36" s="1"/>
  <c r="I27" i="35" s="1"/>
  <c r="R26" i="78"/>
  <c r="H17" i="78"/>
  <c r="K107" i="36"/>
  <c r="K109" i="36" s="1"/>
  <c r="K146" i="36"/>
  <c r="K148" i="36" s="1"/>
  <c r="K140" i="36"/>
  <c r="K142" i="36" s="1"/>
  <c r="K149" i="36"/>
  <c r="K151" i="36" s="1"/>
  <c r="K143" i="36"/>
  <c r="K145" i="36" s="1"/>
  <c r="E187" i="36"/>
  <c r="E206" i="36" s="1"/>
  <c r="E169" i="30"/>
  <c r="E170" i="30" s="1"/>
  <c r="E24" i="77"/>
  <c r="E25" i="77" s="1"/>
  <c r="E65" i="35"/>
  <c r="H18" i="21"/>
  <c r="G97" i="36"/>
  <c r="G467" i="36" s="1"/>
  <c r="P94" i="25"/>
  <c r="H262" i="36"/>
  <c r="H264" i="36" s="1"/>
  <c r="H273" i="36" s="1"/>
  <c r="I31" i="35" s="1"/>
  <c r="H234" i="36"/>
  <c r="H222" i="36"/>
  <c r="F20" i="77"/>
  <c r="H52" i="35"/>
  <c r="F165" i="30"/>
  <c r="H195" i="36"/>
  <c r="H197" i="36" s="1"/>
  <c r="H210" i="36" s="1"/>
  <c r="I11" i="35" s="1"/>
  <c r="H313" i="36"/>
  <c r="H330" i="36" s="1"/>
  <c r="I43" i="35" s="1"/>
  <c r="H310" i="36"/>
  <c r="F467" i="36"/>
  <c r="H44" i="35"/>
  <c r="H92" i="78"/>
  <c r="H98" i="21"/>
  <c r="AO75" i="26"/>
  <c r="AO50" i="32"/>
  <c r="H54" i="21"/>
  <c r="E22" i="77"/>
  <c r="E23" i="77" s="1"/>
  <c r="E21" i="77"/>
  <c r="H43" i="35"/>
  <c r="S178" i="25"/>
  <c r="T168" i="25"/>
  <c r="T178" i="25" s="1"/>
  <c r="H253" i="36"/>
  <c r="H255" i="36" s="1"/>
  <c r="H270" i="36" s="1"/>
  <c r="G353" i="36"/>
  <c r="G340" i="36" s="1"/>
  <c r="G406" i="36"/>
  <c r="G393" i="36" s="1"/>
  <c r="G459" i="36"/>
  <c r="G446" i="36" s="1"/>
  <c r="G163" i="36"/>
  <c r="G157" i="36" s="1"/>
  <c r="E12" i="77"/>
  <c r="E13" i="77" s="1"/>
  <c r="E11" i="77"/>
  <c r="R162" i="25"/>
  <c r="R181" i="25" s="1"/>
  <c r="R160" i="25"/>
  <c r="R179" i="25" s="1"/>
  <c r="R161" i="25"/>
  <c r="R180" i="25" s="1"/>
  <c r="R164" i="25"/>
  <c r="R183" i="25" s="1"/>
  <c r="H192" i="36"/>
  <c r="H194" i="36" s="1"/>
  <c r="H209" i="36" s="1"/>
  <c r="I225" i="36"/>
  <c r="I219" i="36" s="1"/>
  <c r="I245" i="36" s="1"/>
  <c r="I286" i="36"/>
  <c r="I280" i="36" s="1"/>
  <c r="I306" i="36" s="1"/>
  <c r="I177" i="36"/>
  <c r="I170" i="36" s="1"/>
  <c r="I238" i="36"/>
  <c r="I231" i="36" s="1"/>
  <c r="I234" i="36" s="1"/>
  <c r="I299" i="36"/>
  <c r="I292" i="36" s="1"/>
  <c r="R65" i="25"/>
  <c r="R74" i="25" s="1"/>
  <c r="R80" i="25"/>
  <c r="I91" i="36"/>
  <c r="I92" i="36" s="1"/>
  <c r="I278" i="36"/>
  <c r="I217" i="36"/>
  <c r="E81" i="35"/>
  <c r="F182" i="36"/>
  <c r="H11" i="35"/>
  <c r="F183" i="36"/>
  <c r="F191" i="36"/>
  <c r="F208" i="36" s="1"/>
  <c r="G9" i="35" s="1"/>
  <c r="F188" i="36"/>
  <c r="J224" i="36"/>
  <c r="J218" i="36" s="1"/>
  <c r="J285" i="36"/>
  <c r="J279" i="36" s="1"/>
  <c r="J298" i="36"/>
  <c r="J291" i="36" s="1"/>
  <c r="J237" i="36"/>
  <c r="J230" i="36" s="1"/>
  <c r="J176" i="36"/>
  <c r="J169" i="36" s="1"/>
  <c r="I26" i="21"/>
  <c r="I18" i="21" s="1"/>
  <c r="I17" i="21" s="1"/>
  <c r="I5" i="21" s="1"/>
  <c r="C19" i="71" s="1"/>
  <c r="I26" i="78"/>
  <c r="I17" i="78" s="1"/>
  <c r="I16" i="78" s="1"/>
  <c r="I4" i="78" s="1"/>
  <c r="E167" i="30"/>
  <c r="E168" i="30" s="1"/>
  <c r="E166" i="30"/>
  <c r="H283" i="36"/>
  <c r="G354" i="36"/>
  <c r="G341" i="36" s="1"/>
  <c r="G344" i="36" s="1"/>
  <c r="G460" i="36"/>
  <c r="G447" i="36" s="1"/>
  <c r="G407" i="36"/>
  <c r="G394" i="36" s="1"/>
  <c r="G164" i="36"/>
  <c r="G158" i="36" s="1"/>
  <c r="G184" i="36" s="1"/>
  <c r="G131" i="36"/>
  <c r="G135" i="36" s="1"/>
  <c r="G136" i="36" s="1"/>
  <c r="G133" i="36"/>
  <c r="G132" i="36"/>
  <c r="G134" i="36"/>
  <c r="E157" i="30"/>
  <c r="E158" i="30" s="1"/>
  <c r="E156" i="30"/>
  <c r="R156" i="25"/>
  <c r="R175" i="25" s="1"/>
  <c r="R152" i="25"/>
  <c r="R171" i="25" s="1"/>
  <c r="R150" i="25"/>
  <c r="R169" i="25" s="1"/>
  <c r="R151" i="25"/>
  <c r="R170" i="25" s="1"/>
  <c r="R154" i="25"/>
  <c r="R173" i="25" s="1"/>
  <c r="AO11" i="32"/>
  <c r="T71" i="25" s="1"/>
  <c r="S71" i="25"/>
  <c r="I287" i="36"/>
  <c r="I281" i="36" s="1"/>
  <c r="I313" i="36" s="1"/>
  <c r="I330" i="36" s="1"/>
  <c r="J43" i="35" s="1"/>
  <c r="I226" i="36"/>
  <c r="I220" i="36" s="1"/>
  <c r="I252" i="36" s="1"/>
  <c r="I269" i="36" s="1"/>
  <c r="J27" i="35" s="1"/>
  <c r="I178" i="36"/>
  <c r="I171" i="36" s="1"/>
  <c r="I300" i="36"/>
  <c r="I293" i="36" s="1"/>
  <c r="I239" i="36"/>
  <c r="I232" i="36" s="1"/>
  <c r="AN14" i="32"/>
  <c r="S66" i="25"/>
  <c r="AO6" i="32"/>
  <c r="T143" i="25"/>
  <c r="T212" i="25" s="1"/>
  <c r="T141" i="25"/>
  <c r="T210" i="25" s="1"/>
  <c r="T142" i="25"/>
  <c r="T211" i="25" s="1"/>
  <c r="E471" i="36"/>
  <c r="E488" i="36" s="1"/>
  <c r="Q93" i="25"/>
  <c r="Q81" i="25"/>
  <c r="D164" i="30"/>
  <c r="F135" i="36"/>
  <c r="F136" i="36" s="1"/>
  <c r="H13" i="35"/>
  <c r="F161" i="36"/>
  <c r="J284" i="36"/>
  <c r="J223" i="36"/>
  <c r="J175" i="36"/>
  <c r="J168" i="36" s="1"/>
  <c r="J236" i="36"/>
  <c r="J229" i="36" s="1"/>
  <c r="J297" i="36"/>
  <c r="J290" i="36" s="1"/>
  <c r="H29" i="35"/>
  <c r="T29" i="25"/>
  <c r="T97" i="25" s="1"/>
  <c r="T78" i="25"/>
  <c r="AO7" i="32"/>
  <c r="T67" i="25" s="1"/>
  <c r="S67" i="25"/>
  <c r="E8" i="35"/>
  <c r="F362" i="36"/>
  <c r="F365" i="36" s="1"/>
  <c r="F345" i="36"/>
  <c r="F382" i="36" s="1"/>
  <c r="G59" i="35" s="1"/>
  <c r="F346" i="36"/>
  <c r="F366" i="36" s="1"/>
  <c r="F383" i="36" s="1"/>
  <c r="G60" i="35" s="1"/>
  <c r="G312" i="36"/>
  <c r="G329" i="36" s="1"/>
  <c r="I320" i="36"/>
  <c r="I322" i="36" s="1"/>
  <c r="I333" i="36" s="1"/>
  <c r="J46" i="35" s="1"/>
  <c r="G355" i="36"/>
  <c r="G342" i="36" s="1"/>
  <c r="G408" i="36"/>
  <c r="G395" i="36" s="1"/>
  <c r="G461" i="36"/>
  <c r="G448" i="36" s="1"/>
  <c r="G165" i="36"/>
  <c r="G159" i="36" s="1"/>
  <c r="H27" i="35"/>
  <c r="I288" i="36"/>
  <c r="I282" i="36" s="1"/>
  <c r="I308" i="36" s="1"/>
  <c r="I227" i="36"/>
  <c r="I221" i="36" s="1"/>
  <c r="I247" i="36" s="1"/>
  <c r="I301" i="36"/>
  <c r="I294" i="36" s="1"/>
  <c r="I179" i="36"/>
  <c r="I172" i="36" s="1"/>
  <c r="I240" i="36"/>
  <c r="I233" i="36" s="1"/>
  <c r="E161" i="30"/>
  <c r="E162" i="30"/>
  <c r="E163" i="30" s="1"/>
  <c r="P100" i="25"/>
  <c r="G98" i="36"/>
  <c r="T137" i="25"/>
  <c r="T206" i="25" s="1"/>
  <c r="T133" i="25"/>
  <c r="T202" i="25" s="1"/>
  <c r="T132" i="25"/>
  <c r="T201" i="25" s="1"/>
  <c r="T131" i="25"/>
  <c r="T200" i="25" s="1"/>
  <c r="H307" i="36"/>
  <c r="H311" i="36"/>
  <c r="D19" i="77"/>
  <c r="J113" i="36"/>
  <c r="J112" i="36"/>
  <c r="J111" i="36"/>
  <c r="E309" i="36"/>
  <c r="E328" i="36" s="1"/>
  <c r="F468" i="36"/>
  <c r="F452" i="36"/>
  <c r="F473" i="36" s="1"/>
  <c r="F490" i="36" s="1"/>
  <c r="F451" i="36"/>
  <c r="F472" i="36" s="1"/>
  <c r="F489" i="36" s="1"/>
  <c r="I249" i="36"/>
  <c r="S91" i="25"/>
  <c r="J86" i="36"/>
  <c r="S82" i="25"/>
  <c r="T88" i="25"/>
  <c r="I53" i="35"/>
  <c r="I19" i="35"/>
  <c r="I102" i="35"/>
  <c r="I101" i="35" s="1"/>
  <c r="H130" i="36"/>
  <c r="I70" i="35"/>
  <c r="I69" i="35" s="1"/>
  <c r="I37" i="35"/>
  <c r="I86" i="35"/>
  <c r="I85" i="35" s="1"/>
  <c r="H96" i="36"/>
  <c r="H95" i="36"/>
  <c r="H94" i="36"/>
  <c r="H93" i="36"/>
  <c r="S73" i="25"/>
  <c r="AO13" i="32"/>
  <c r="T73" i="25" s="1"/>
  <c r="F124" i="36"/>
  <c r="F129" i="36" s="1"/>
  <c r="F243" i="36"/>
  <c r="F248" i="36" s="1"/>
  <c r="F304" i="36"/>
  <c r="F309" i="36" s="1"/>
  <c r="E381" i="36"/>
  <c r="Q87" i="25"/>
  <c r="Q99" i="25"/>
  <c r="H246" i="36"/>
  <c r="H250" i="36"/>
  <c r="H119" i="36"/>
  <c r="H123" i="36"/>
  <c r="H121" i="36"/>
  <c r="H122" i="36"/>
  <c r="T144" i="25"/>
  <c r="T213" i="25" s="1"/>
  <c r="F469" i="36"/>
  <c r="F189" i="36"/>
  <c r="F185" i="36"/>
  <c r="E248" i="36"/>
  <c r="E267" i="36" s="1"/>
  <c r="F399" i="36"/>
  <c r="F420" i="36" s="1"/>
  <c r="F437" i="36" s="1"/>
  <c r="G76" i="35" s="1"/>
  <c r="F398" i="36"/>
  <c r="F419" i="36" s="1"/>
  <c r="F436" i="36" s="1"/>
  <c r="F415" i="36"/>
  <c r="F418" i="36" s="1"/>
  <c r="I310" i="36"/>
  <c r="E14" i="77" l="1"/>
  <c r="S165" i="25"/>
  <c r="S184" i="25" s="1"/>
  <c r="F435" i="36"/>
  <c r="F381" i="36"/>
  <c r="K110" i="36"/>
  <c r="K176" i="36" s="1"/>
  <c r="K169" i="36" s="1"/>
  <c r="D495" i="36"/>
  <c r="E90" i="35"/>
  <c r="E97" i="35" s="1"/>
  <c r="G450" i="36"/>
  <c r="T86" i="25"/>
  <c r="I323" i="36"/>
  <c r="I325" i="36" s="1"/>
  <c r="I334" i="36" s="1"/>
  <c r="J47" i="35" s="1"/>
  <c r="I201" i="36"/>
  <c r="I203" i="36" s="1"/>
  <c r="I212" i="36" s="1"/>
  <c r="J13" i="35" s="1"/>
  <c r="K284" i="36"/>
  <c r="K223" i="36"/>
  <c r="K175" i="36"/>
  <c r="K168" i="36" s="1"/>
  <c r="K236" i="36"/>
  <c r="K229" i="36" s="1"/>
  <c r="K297" i="36"/>
  <c r="K290" i="36" s="1"/>
  <c r="G74" i="35"/>
  <c r="F442" i="36"/>
  <c r="F388" i="36"/>
  <c r="G58" i="35"/>
  <c r="G65" i="35" s="1"/>
  <c r="I405" i="36"/>
  <c r="I392" i="36" s="1"/>
  <c r="I458" i="36"/>
  <c r="I445" i="36" s="1"/>
  <c r="I352" i="36"/>
  <c r="I339" i="36" s="1"/>
  <c r="I162" i="36"/>
  <c r="I156" i="36" s="1"/>
  <c r="I173" i="36"/>
  <c r="I222" i="36"/>
  <c r="G183" i="36"/>
  <c r="G191" i="36"/>
  <c r="G208" i="36" s="1"/>
  <c r="H9" i="35" s="1"/>
  <c r="G188" i="36"/>
  <c r="F471" i="36"/>
  <c r="F488" i="36" s="1"/>
  <c r="R99" i="25"/>
  <c r="R87" i="25"/>
  <c r="G10" i="77"/>
  <c r="I18" i="35"/>
  <c r="G155" i="30"/>
  <c r="F58" i="35"/>
  <c r="E388" i="36"/>
  <c r="H355" i="36"/>
  <c r="H342" i="36" s="1"/>
  <c r="H461" i="36"/>
  <c r="H448" i="36" s="1"/>
  <c r="H408" i="36"/>
  <c r="H395" i="36" s="1"/>
  <c r="H165" i="36"/>
  <c r="H159" i="36" s="1"/>
  <c r="G20" i="77"/>
  <c r="I52" i="35"/>
  <c r="G165" i="30"/>
  <c r="E159" i="30"/>
  <c r="G185" i="36"/>
  <c r="G189" i="36"/>
  <c r="I295" i="36"/>
  <c r="Q94" i="25"/>
  <c r="H97" i="36"/>
  <c r="J310" i="36"/>
  <c r="R81" i="25"/>
  <c r="R93" i="25"/>
  <c r="G399" i="36"/>
  <c r="G420" i="36" s="1"/>
  <c r="G437" i="36" s="1"/>
  <c r="H76" i="35" s="1"/>
  <c r="G415" i="36"/>
  <c r="G398" i="36"/>
  <c r="G419" i="36" s="1"/>
  <c r="G436" i="36" s="1"/>
  <c r="H75" i="35" s="1"/>
  <c r="I256" i="36"/>
  <c r="I258" i="36" s="1"/>
  <c r="I271" i="36" s="1"/>
  <c r="R92" i="78"/>
  <c r="H83" i="78"/>
  <c r="G124" i="36"/>
  <c r="G243" i="36"/>
  <c r="G304" i="36"/>
  <c r="E19" i="77"/>
  <c r="H251" i="36"/>
  <c r="H268" i="36" s="1"/>
  <c r="I26" i="35" s="1"/>
  <c r="G161" i="36"/>
  <c r="F157" i="30"/>
  <c r="F158" i="30" s="1"/>
  <c r="F156" i="30"/>
  <c r="S155" i="25"/>
  <c r="S174" i="25" s="1"/>
  <c r="H467" i="36"/>
  <c r="G91" i="35"/>
  <c r="T66" i="25"/>
  <c r="AO14" i="32"/>
  <c r="G75" i="35"/>
  <c r="F328" i="36"/>
  <c r="H409" i="36"/>
  <c r="H396" i="36" s="1"/>
  <c r="H417" i="36" s="1"/>
  <c r="H356" i="36"/>
  <c r="H343" i="36" s="1"/>
  <c r="H364" i="36" s="1"/>
  <c r="H462" i="36"/>
  <c r="H449" i="36" s="1"/>
  <c r="H470" i="36" s="1"/>
  <c r="H166" i="36"/>
  <c r="H160" i="36" s="1"/>
  <c r="H186" i="36" s="1"/>
  <c r="K115" i="36"/>
  <c r="F41" i="35"/>
  <c r="E335" i="36"/>
  <c r="H42" i="35"/>
  <c r="T91" i="25"/>
  <c r="K86" i="36"/>
  <c r="T82" i="25"/>
  <c r="J249" i="36"/>
  <c r="I283" i="36"/>
  <c r="G362" i="36"/>
  <c r="G345" i="36"/>
  <c r="G382" i="36" s="1"/>
  <c r="H59" i="35" s="1"/>
  <c r="G346" i="36"/>
  <c r="G366" i="36" s="1"/>
  <c r="G383" i="36" s="1"/>
  <c r="H60" i="35" s="1"/>
  <c r="I262" i="36"/>
  <c r="I264" i="36" s="1"/>
  <c r="I273" i="36" s="1"/>
  <c r="H53" i="21"/>
  <c r="F166" i="30"/>
  <c r="F167" i="30"/>
  <c r="F168" i="30" s="1"/>
  <c r="H17" i="21"/>
  <c r="E164" i="30"/>
  <c r="L142" i="36"/>
  <c r="H16" i="78"/>
  <c r="E14" i="35"/>
  <c r="D18" i="71" s="1"/>
  <c r="G182" i="36"/>
  <c r="H361" i="36"/>
  <c r="F267" i="36"/>
  <c r="J114" i="36"/>
  <c r="S95" i="25"/>
  <c r="J225" i="36"/>
  <c r="J219" i="36" s="1"/>
  <c r="J245" i="36" s="1"/>
  <c r="J286" i="36"/>
  <c r="J280" i="36" s="1"/>
  <c r="J306" i="36" s="1"/>
  <c r="J299" i="36"/>
  <c r="J292" i="36" s="1"/>
  <c r="J295" i="36" s="1"/>
  <c r="J238" i="36"/>
  <c r="J231" i="36" s="1"/>
  <c r="J259" i="36" s="1"/>
  <c r="J261" i="36" s="1"/>
  <c r="J272" i="36" s="1"/>
  <c r="K30" i="35" s="1"/>
  <c r="J177" i="36"/>
  <c r="J170" i="36" s="1"/>
  <c r="T149" i="25"/>
  <c r="T159" i="25"/>
  <c r="T75" i="25"/>
  <c r="T101" i="25" s="1"/>
  <c r="F90" i="35"/>
  <c r="E495" i="36"/>
  <c r="I195" i="36"/>
  <c r="I197" i="36" s="1"/>
  <c r="I210" i="36" s="1"/>
  <c r="F187" i="36"/>
  <c r="F206" i="36" s="1"/>
  <c r="I28" i="35"/>
  <c r="I259" i="36"/>
  <c r="I261" i="36" s="1"/>
  <c r="I272" i="36" s="1"/>
  <c r="F24" i="77"/>
  <c r="F25" i="77" s="1"/>
  <c r="F169" i="30"/>
  <c r="F170" i="30" s="1"/>
  <c r="E213" i="36"/>
  <c r="F7" i="35"/>
  <c r="F14" i="35" s="1"/>
  <c r="D19" i="71" s="1"/>
  <c r="E19" i="71" s="1"/>
  <c r="L148" i="36"/>
  <c r="S86" i="25"/>
  <c r="I59" i="78"/>
  <c r="I63" i="21"/>
  <c r="K137" i="36"/>
  <c r="K139" i="36" s="1"/>
  <c r="I192" i="36"/>
  <c r="I194" i="36" s="1"/>
  <c r="I209" i="36" s="1"/>
  <c r="J10" i="35" s="1"/>
  <c r="I253" i="36"/>
  <c r="I255" i="36" s="1"/>
  <c r="I270" i="36" s="1"/>
  <c r="J28" i="35" s="1"/>
  <c r="F21" i="77"/>
  <c r="F22" i="77"/>
  <c r="F23" i="77" s="1"/>
  <c r="K113" i="36"/>
  <c r="K111" i="36"/>
  <c r="K112" i="36"/>
  <c r="T87" i="25"/>
  <c r="I119" i="36"/>
  <c r="I123" i="36"/>
  <c r="I121" i="36"/>
  <c r="I122" i="36"/>
  <c r="I120" i="36"/>
  <c r="F16" i="77"/>
  <c r="F17" i="77"/>
  <c r="F18" i="77" s="1"/>
  <c r="I36" i="35"/>
  <c r="G15" i="77"/>
  <c r="G160" i="30"/>
  <c r="J287" i="36"/>
  <c r="J281" i="36" s="1"/>
  <c r="J226" i="36"/>
  <c r="J220" i="36" s="1"/>
  <c r="J252" i="36" s="1"/>
  <c r="J269" i="36" s="1"/>
  <c r="J300" i="36"/>
  <c r="J293" i="36" s="1"/>
  <c r="J239" i="36"/>
  <c r="J232" i="36" s="1"/>
  <c r="J178" i="36"/>
  <c r="J171" i="36" s="1"/>
  <c r="J195" i="36" s="1"/>
  <c r="J197" i="36" s="1"/>
  <c r="J210" i="36" s="1"/>
  <c r="K11" i="35" s="1"/>
  <c r="T199" i="25"/>
  <c r="T209" i="25" s="1"/>
  <c r="S209" i="25"/>
  <c r="J278" i="36"/>
  <c r="J91" i="36"/>
  <c r="J217" i="36"/>
  <c r="J92" i="36"/>
  <c r="J227" i="36"/>
  <c r="J221" i="36" s="1"/>
  <c r="J247" i="36" s="1"/>
  <c r="J288" i="36"/>
  <c r="J282" i="36" s="1"/>
  <c r="J308" i="36" s="1"/>
  <c r="J301" i="36"/>
  <c r="J294" i="36" s="1"/>
  <c r="J179" i="36"/>
  <c r="J172" i="36" s="1"/>
  <c r="J240" i="36"/>
  <c r="J233" i="36" s="1"/>
  <c r="I314" i="36"/>
  <c r="I316" i="36" s="1"/>
  <c r="I331" i="36" s="1"/>
  <c r="I246" i="36"/>
  <c r="I250" i="36"/>
  <c r="I251" i="36" s="1"/>
  <c r="I268" i="36" s="1"/>
  <c r="G416" i="36"/>
  <c r="I198" i="36"/>
  <c r="I200" i="36" s="1"/>
  <c r="I211" i="36" s="1"/>
  <c r="E9" i="77"/>
  <c r="G414" i="36"/>
  <c r="R16" i="78"/>
  <c r="F162" i="30"/>
  <c r="F163" i="30" s="1"/>
  <c r="F161" i="30"/>
  <c r="K298" i="36"/>
  <c r="K291" i="36" s="1"/>
  <c r="I312" i="36"/>
  <c r="I329" i="36" s="1"/>
  <c r="J42" i="35" s="1"/>
  <c r="H134" i="36"/>
  <c r="H132" i="36"/>
  <c r="H133" i="36"/>
  <c r="H131" i="36"/>
  <c r="G125" i="36"/>
  <c r="G244" i="36"/>
  <c r="G305" i="36"/>
  <c r="I317" i="36"/>
  <c r="I319" i="36" s="1"/>
  <c r="I332" i="36" s="1"/>
  <c r="J314" i="36"/>
  <c r="J316" i="36" s="1"/>
  <c r="J331" i="36" s="1"/>
  <c r="K44" i="35" s="1"/>
  <c r="J323" i="36"/>
  <c r="J325" i="36" s="1"/>
  <c r="J334" i="36" s="1"/>
  <c r="K47" i="35" s="1"/>
  <c r="I311" i="36"/>
  <c r="I307" i="36"/>
  <c r="E154" i="30"/>
  <c r="G469" i="36"/>
  <c r="J19" i="35"/>
  <c r="J70" i="35"/>
  <c r="J69" i="35" s="1"/>
  <c r="J53" i="35"/>
  <c r="J37" i="35"/>
  <c r="I130" i="36"/>
  <c r="J102" i="35"/>
  <c r="J101" i="35" s="1"/>
  <c r="J86" i="35"/>
  <c r="J85" i="35" s="1"/>
  <c r="I96" i="36"/>
  <c r="I95" i="36"/>
  <c r="I94" i="36"/>
  <c r="I93" i="36"/>
  <c r="G397" i="36"/>
  <c r="E32" i="35"/>
  <c r="G18" i="71" s="1"/>
  <c r="F25" i="35"/>
  <c r="F32" i="35" s="1"/>
  <c r="G19" i="71" s="1"/>
  <c r="E274" i="36"/>
  <c r="H353" i="36"/>
  <c r="H340" i="36" s="1"/>
  <c r="H406" i="36"/>
  <c r="H393" i="36" s="1"/>
  <c r="H397" i="36" s="1"/>
  <c r="H459" i="36"/>
  <c r="H446" i="36" s="1"/>
  <c r="H163" i="36"/>
  <c r="H157" i="36" s="1"/>
  <c r="L145" i="36"/>
  <c r="H182" i="36"/>
  <c r="E442" i="36"/>
  <c r="F74" i="35"/>
  <c r="G363" i="36"/>
  <c r="S156" i="25"/>
  <c r="S175" i="25" s="1"/>
  <c r="S152" i="25"/>
  <c r="S171" i="25" s="1"/>
  <c r="S150" i="25"/>
  <c r="S169" i="25" s="1"/>
  <c r="S151" i="25"/>
  <c r="S170" i="25" s="1"/>
  <c r="S154" i="25"/>
  <c r="S173" i="25" s="1"/>
  <c r="Q100" i="25"/>
  <c r="H98" i="36"/>
  <c r="H460" i="36"/>
  <c r="H447" i="36" s="1"/>
  <c r="H354" i="36"/>
  <c r="H341" i="36" s="1"/>
  <c r="H363" i="36" s="1"/>
  <c r="H407" i="36"/>
  <c r="H394" i="36" s="1"/>
  <c r="H416" i="36" s="1"/>
  <c r="H164" i="36"/>
  <c r="H158" i="36" s="1"/>
  <c r="H184" i="36" s="1"/>
  <c r="G92" i="35"/>
  <c r="I92" i="78"/>
  <c r="I83" i="78" s="1"/>
  <c r="I82" i="78" s="1"/>
  <c r="I70" i="78" s="1"/>
  <c r="I98" i="21"/>
  <c r="I89" i="21" s="1"/>
  <c r="I88" i="21" s="1"/>
  <c r="I75" i="21" s="1"/>
  <c r="I19" i="71" s="1"/>
  <c r="S65" i="25"/>
  <c r="S74" i="25" s="1"/>
  <c r="S80" i="25"/>
  <c r="F190" i="36"/>
  <c r="F207" i="36" s="1"/>
  <c r="I10" i="35"/>
  <c r="G451" i="36"/>
  <c r="G472" i="36" s="1"/>
  <c r="G489" i="36" s="1"/>
  <c r="H91" i="35" s="1"/>
  <c r="G452" i="36"/>
  <c r="G473" i="36" s="1"/>
  <c r="G490" i="36" s="1"/>
  <c r="H92" i="35" s="1"/>
  <c r="G468" i="36"/>
  <c r="G471" i="36" s="1"/>
  <c r="H89" i="21"/>
  <c r="H312" i="36"/>
  <c r="H329" i="36" s="1"/>
  <c r="I42" i="35" s="1"/>
  <c r="G361" i="36"/>
  <c r="L151" i="36"/>
  <c r="H26" i="35"/>
  <c r="F12" i="77"/>
  <c r="F13" i="77" s="1"/>
  <c r="F11" i="77"/>
  <c r="S162" i="25"/>
  <c r="S181" i="25" s="1"/>
  <c r="S160" i="25"/>
  <c r="S179" i="25" s="1"/>
  <c r="S161" i="25"/>
  <c r="S180" i="25" s="1"/>
  <c r="S164" i="25"/>
  <c r="S183" i="25" s="1"/>
  <c r="H414" i="36"/>
  <c r="J320" i="36" l="1"/>
  <c r="J322" i="36" s="1"/>
  <c r="J333" i="36" s="1"/>
  <c r="K46" i="35" s="1"/>
  <c r="K224" i="36"/>
  <c r="K218" i="36" s="1"/>
  <c r="J317" i="36"/>
  <c r="J319" i="36" s="1"/>
  <c r="J332" i="36" s="1"/>
  <c r="K45" i="35" s="1"/>
  <c r="K285" i="36"/>
  <c r="K279" i="36" s="1"/>
  <c r="K310" i="36" s="1"/>
  <c r="G187" i="36"/>
  <c r="J173" i="36"/>
  <c r="J192" i="36"/>
  <c r="J194" i="36" s="1"/>
  <c r="J209" i="36" s="1"/>
  <c r="K10" i="35" s="1"/>
  <c r="H344" i="36"/>
  <c r="J313" i="36"/>
  <c r="J330" i="36" s="1"/>
  <c r="J201" i="36"/>
  <c r="J203" i="36" s="1"/>
  <c r="J212" i="36" s="1"/>
  <c r="K13" i="35" s="1"/>
  <c r="K237" i="36"/>
  <c r="K230" i="36" s="1"/>
  <c r="F164" i="30"/>
  <c r="J198" i="36"/>
  <c r="J200" i="36" s="1"/>
  <c r="J211" i="36" s="1"/>
  <c r="K12" i="35" s="1"/>
  <c r="G365" i="36"/>
  <c r="F19" i="77"/>
  <c r="G81" i="35"/>
  <c r="K249" i="36"/>
  <c r="J26" i="35"/>
  <c r="K27" i="35"/>
  <c r="K43" i="35"/>
  <c r="G8" i="35"/>
  <c r="H469" i="36"/>
  <c r="F81" i="35"/>
  <c r="J26" i="78"/>
  <c r="J26" i="21"/>
  <c r="F159" i="30"/>
  <c r="J12" i="35"/>
  <c r="F97" i="35"/>
  <c r="H40" i="21"/>
  <c r="I97" i="36"/>
  <c r="I182" i="36" s="1"/>
  <c r="R94" i="25"/>
  <c r="J234" i="36"/>
  <c r="H191" i="36"/>
  <c r="H208" i="36" s="1"/>
  <c r="H183" i="36"/>
  <c r="H188" i="36"/>
  <c r="J45" i="35"/>
  <c r="K98" i="36"/>
  <c r="K125" i="36" s="1"/>
  <c r="J30" i="35"/>
  <c r="J31" i="35"/>
  <c r="R82" i="78"/>
  <c r="J63" i="21"/>
  <c r="J54" i="21" s="1"/>
  <c r="J53" i="21" s="1"/>
  <c r="J40" i="21" s="1"/>
  <c r="F20" i="71" s="1"/>
  <c r="J59" i="78"/>
  <c r="G90" i="35"/>
  <c r="G97" i="35" s="1"/>
  <c r="F495" i="36"/>
  <c r="S93" i="25"/>
  <c r="S81" i="25"/>
  <c r="H125" i="36"/>
  <c r="H244" i="36"/>
  <c r="H305" i="36"/>
  <c r="I131" i="36"/>
  <c r="I132" i="36"/>
  <c r="I133" i="36"/>
  <c r="I134" i="36"/>
  <c r="J262" i="36"/>
  <c r="J264" i="36" s="1"/>
  <c r="J273" i="36" s="1"/>
  <c r="K31" i="35" s="1"/>
  <c r="H161" i="36"/>
  <c r="H451" i="36"/>
  <c r="H472" i="36" s="1"/>
  <c r="H489" i="36" s="1"/>
  <c r="I91" i="35" s="1"/>
  <c r="H468" i="36"/>
  <c r="H452" i="36"/>
  <c r="H473" i="36" s="1"/>
  <c r="H490" i="36" s="1"/>
  <c r="I92" i="35" s="1"/>
  <c r="J36" i="35"/>
  <c r="H160" i="30"/>
  <c r="H15" i="77"/>
  <c r="R4" i="78"/>
  <c r="F14" i="77"/>
  <c r="K226" i="36"/>
  <c r="K220" i="36" s="1"/>
  <c r="K287" i="36"/>
  <c r="K281" i="36" s="1"/>
  <c r="K300" i="36"/>
  <c r="K293" i="36" s="1"/>
  <c r="K178" i="36"/>
  <c r="K171" i="36" s="1"/>
  <c r="K173" i="36" s="1"/>
  <c r="K239" i="36"/>
  <c r="K232" i="36" s="1"/>
  <c r="T162" i="25"/>
  <c r="T181" i="25" s="1"/>
  <c r="T161" i="25"/>
  <c r="T180" i="25" s="1"/>
  <c r="T160" i="25"/>
  <c r="T179" i="25" s="1"/>
  <c r="T164" i="25"/>
  <c r="T183" i="25" s="1"/>
  <c r="J92" i="78"/>
  <c r="J98" i="21"/>
  <c r="K114" i="36"/>
  <c r="T95" i="25"/>
  <c r="G166" i="30"/>
  <c r="G167" i="30"/>
  <c r="G168" i="30" s="1"/>
  <c r="G190" i="36"/>
  <c r="G207" i="36" s="1"/>
  <c r="H8" i="35" s="1"/>
  <c r="I467" i="36"/>
  <c r="I98" i="36"/>
  <c r="R100" i="25"/>
  <c r="J253" i="36"/>
  <c r="J255" i="36" s="1"/>
  <c r="J270" i="36" s="1"/>
  <c r="K28" i="35" s="1"/>
  <c r="H415" i="36"/>
  <c r="H398" i="36"/>
  <c r="H419" i="36" s="1"/>
  <c r="H436" i="36" s="1"/>
  <c r="H399" i="36"/>
  <c r="H420" i="36" s="1"/>
  <c r="H437" i="36" s="1"/>
  <c r="I459" i="36"/>
  <c r="I446" i="36" s="1"/>
  <c r="I406" i="36"/>
  <c r="I393" i="36" s="1"/>
  <c r="I353" i="36"/>
  <c r="I340" i="36" s="1"/>
  <c r="I163" i="36"/>
  <c r="I157" i="36" s="1"/>
  <c r="H20" i="77"/>
  <c r="J52" i="35"/>
  <c r="H165" i="30"/>
  <c r="J222" i="36"/>
  <c r="K286" i="36"/>
  <c r="K280" i="36" s="1"/>
  <c r="K306" i="36" s="1"/>
  <c r="K225" i="36"/>
  <c r="K219" i="36" s="1"/>
  <c r="K245" i="36" s="1"/>
  <c r="K177" i="36"/>
  <c r="K170" i="36" s="1"/>
  <c r="K299" i="36"/>
  <c r="K292" i="36" s="1"/>
  <c r="K295" i="36" s="1"/>
  <c r="K238" i="36"/>
  <c r="K231" i="36" s="1"/>
  <c r="I54" i="21"/>
  <c r="T156" i="25"/>
  <c r="T175" i="25" s="1"/>
  <c r="T152" i="25"/>
  <c r="T171" i="25" s="1"/>
  <c r="T151" i="25"/>
  <c r="T170" i="25" s="1"/>
  <c r="T150" i="25"/>
  <c r="T169" i="25" s="1"/>
  <c r="T154" i="25"/>
  <c r="T173" i="25" s="1"/>
  <c r="T153" i="25"/>
  <c r="T172" i="25" s="1"/>
  <c r="F48" i="35"/>
  <c r="J19" i="71" s="1"/>
  <c r="K19" i="71" s="1"/>
  <c r="F335" i="36"/>
  <c r="G41" i="35"/>
  <c r="G48" i="35" s="1"/>
  <c r="J20" i="71" s="1"/>
  <c r="H450" i="36"/>
  <c r="G309" i="36"/>
  <c r="J29" i="35"/>
  <c r="G24" i="77"/>
  <c r="G25" i="77" s="1"/>
  <c r="G169" i="30"/>
  <c r="G170" i="30" s="1"/>
  <c r="G164" i="30" s="1"/>
  <c r="F65" i="35"/>
  <c r="I414" i="36"/>
  <c r="K259" i="36"/>
  <c r="K261" i="36" s="1"/>
  <c r="K272" i="36" s="1"/>
  <c r="L30" i="35" s="1"/>
  <c r="K253" i="36"/>
  <c r="K255" i="36" s="1"/>
  <c r="K270" i="36" s="1"/>
  <c r="L28" i="35" s="1"/>
  <c r="M28" i="35" s="1"/>
  <c r="N28" i="35" s="1"/>
  <c r="H88" i="21"/>
  <c r="G17" i="77"/>
  <c r="G18" i="77" s="1"/>
  <c r="G16" i="77"/>
  <c r="T80" i="25"/>
  <c r="T65" i="25"/>
  <c r="F9" i="77"/>
  <c r="J256" i="36"/>
  <c r="J258" i="36" s="1"/>
  <c r="J271" i="36" s="1"/>
  <c r="K29" i="35" s="1"/>
  <c r="H346" i="36"/>
  <c r="H366" i="36" s="1"/>
  <c r="H383" i="36" s="1"/>
  <c r="H362" i="36"/>
  <c r="H365" i="36" s="1"/>
  <c r="H381" i="36" s="1"/>
  <c r="H345" i="36"/>
  <c r="H382" i="36" s="1"/>
  <c r="I407" i="36"/>
  <c r="I394" i="36" s="1"/>
  <c r="I354" i="36"/>
  <c r="I341" i="36" s="1"/>
  <c r="I460" i="36"/>
  <c r="I447" i="36" s="1"/>
  <c r="I164" i="36"/>
  <c r="I158" i="36" s="1"/>
  <c r="I184" i="36" s="1"/>
  <c r="G418" i="36"/>
  <c r="K53" i="35"/>
  <c r="J130" i="36"/>
  <c r="K102" i="35"/>
  <c r="K101" i="35" s="1"/>
  <c r="K70" i="35"/>
  <c r="K69" i="35" s="1"/>
  <c r="K37" i="35"/>
  <c r="K86" i="35"/>
  <c r="K85" i="35" s="1"/>
  <c r="K19" i="35"/>
  <c r="J96" i="36"/>
  <c r="J94" i="36"/>
  <c r="J95" i="36"/>
  <c r="J93" i="36"/>
  <c r="J250" i="36"/>
  <c r="J251" i="36" s="1"/>
  <c r="J268" i="36" s="1"/>
  <c r="J246" i="36"/>
  <c r="K288" i="36"/>
  <c r="K282" i="36" s="1"/>
  <c r="K308" i="36" s="1"/>
  <c r="K227" i="36"/>
  <c r="K221" i="36" s="1"/>
  <c r="K247" i="36" s="1"/>
  <c r="K240" i="36"/>
  <c r="K233" i="36" s="1"/>
  <c r="K234" i="36" s="1"/>
  <c r="K301" i="36"/>
  <c r="K294" i="36" s="1"/>
  <c r="K179" i="36"/>
  <c r="K172" i="36" s="1"/>
  <c r="F213" i="36"/>
  <c r="G7" i="35"/>
  <c r="G14" i="35" s="1"/>
  <c r="D20" i="71" s="1"/>
  <c r="T165" i="25"/>
  <c r="T184" i="25" s="1"/>
  <c r="H5" i="21"/>
  <c r="K91" i="36"/>
  <c r="K92" i="36" s="1"/>
  <c r="K278" i="36"/>
  <c r="K217" i="36"/>
  <c r="H471" i="36"/>
  <c r="G248" i="36"/>
  <c r="H124" i="36"/>
  <c r="H129" i="36" s="1"/>
  <c r="H243" i="36"/>
  <c r="H248" i="36" s="1"/>
  <c r="H267" i="36" s="1"/>
  <c r="H304" i="36"/>
  <c r="H309" i="36" s="1"/>
  <c r="H328" i="36" s="1"/>
  <c r="G22" i="77"/>
  <c r="G23" i="77" s="1"/>
  <c r="G21" i="77"/>
  <c r="G156" i="30"/>
  <c r="G157" i="30"/>
  <c r="G158" i="30" s="1"/>
  <c r="K195" i="36"/>
  <c r="K197" i="36" s="1"/>
  <c r="K210" i="36" s="1"/>
  <c r="L11" i="35" s="1"/>
  <c r="H418" i="36"/>
  <c r="H435" i="36" s="1"/>
  <c r="I461" i="36"/>
  <c r="I448" i="36" s="1"/>
  <c r="I408" i="36"/>
  <c r="I395" i="36" s="1"/>
  <c r="I397" i="36" s="1"/>
  <c r="I355" i="36"/>
  <c r="I342" i="36" s="1"/>
  <c r="I165" i="36"/>
  <c r="I159" i="36" s="1"/>
  <c r="H10" i="77"/>
  <c r="J18" i="35"/>
  <c r="H155" i="30"/>
  <c r="H135" i="36"/>
  <c r="H136" i="36" s="1"/>
  <c r="J283" i="36"/>
  <c r="J307" i="36"/>
  <c r="J311" i="36"/>
  <c r="J312" i="36" s="1"/>
  <c r="J329" i="36" s="1"/>
  <c r="S99" i="25"/>
  <c r="S87" i="25"/>
  <c r="J11" i="35"/>
  <c r="T155" i="25"/>
  <c r="T174" i="25" s="1"/>
  <c r="J119" i="36"/>
  <c r="J123" i="36"/>
  <c r="J121" i="36"/>
  <c r="J122" i="36"/>
  <c r="J120" i="36"/>
  <c r="H4" i="78"/>
  <c r="T163" i="25"/>
  <c r="T182" i="25" s="1"/>
  <c r="G129" i="36"/>
  <c r="G381" i="36" s="1"/>
  <c r="H189" i="36"/>
  <c r="H185" i="36"/>
  <c r="H187" i="36" s="1"/>
  <c r="H206" i="36" s="1"/>
  <c r="J405" i="36"/>
  <c r="J392" i="36" s="1"/>
  <c r="J352" i="36"/>
  <c r="J339" i="36" s="1"/>
  <c r="J458" i="36"/>
  <c r="J445" i="36" s="1"/>
  <c r="J162" i="36"/>
  <c r="J156" i="36" s="1"/>
  <c r="I462" i="36"/>
  <c r="I449" i="36" s="1"/>
  <c r="I470" i="36" s="1"/>
  <c r="I356" i="36"/>
  <c r="I343" i="36" s="1"/>
  <c r="I364" i="36" s="1"/>
  <c r="I409" i="36"/>
  <c r="I396" i="36" s="1"/>
  <c r="I417" i="36" s="1"/>
  <c r="I166" i="36"/>
  <c r="I160" i="36" s="1"/>
  <c r="I186" i="36" s="1"/>
  <c r="J44" i="35"/>
  <c r="G162" i="30"/>
  <c r="G163" i="30" s="1"/>
  <c r="G161" i="30"/>
  <c r="K98" i="21"/>
  <c r="K89" i="21" s="1"/>
  <c r="K88" i="21" s="1"/>
  <c r="K75" i="21" s="1"/>
  <c r="I21" i="71" s="1"/>
  <c r="K92" i="78"/>
  <c r="K83" i="78" s="1"/>
  <c r="K82" i="78" s="1"/>
  <c r="K70" i="78" s="1"/>
  <c r="F274" i="36"/>
  <c r="G25" i="35"/>
  <c r="K120" i="36"/>
  <c r="F154" i="30"/>
  <c r="H82" i="78"/>
  <c r="G12" i="77"/>
  <c r="G13" i="77" s="1"/>
  <c r="G11" i="77"/>
  <c r="K192" i="36" l="1"/>
  <c r="K194" i="36" s="1"/>
  <c r="K209" i="36" s="1"/>
  <c r="K201" i="36"/>
  <c r="K203" i="36" s="1"/>
  <c r="K212" i="36" s="1"/>
  <c r="L13" i="35" s="1"/>
  <c r="M13" i="35" s="1"/>
  <c r="N13" i="35" s="1"/>
  <c r="K314" i="36"/>
  <c r="K316" i="36" s="1"/>
  <c r="K331" i="36" s="1"/>
  <c r="K320" i="36"/>
  <c r="K322" i="36" s="1"/>
  <c r="K333" i="36" s="1"/>
  <c r="K317" i="36"/>
  <c r="K319" i="36" s="1"/>
  <c r="K332" i="36" s="1"/>
  <c r="L45" i="35" s="1"/>
  <c r="K198" i="36"/>
  <c r="K200" i="36" s="1"/>
  <c r="K211" i="36" s="1"/>
  <c r="L12" i="35" s="1"/>
  <c r="M12" i="35" s="1"/>
  <c r="N12" i="35" s="1"/>
  <c r="K252" i="36"/>
  <c r="K269" i="36" s="1"/>
  <c r="L269" i="36" s="1"/>
  <c r="K323" i="36"/>
  <c r="K325" i="36" s="1"/>
  <c r="K334" i="36" s="1"/>
  <c r="L47" i="35" s="1"/>
  <c r="M47" i="35" s="1"/>
  <c r="N47" i="35" s="1"/>
  <c r="G9" i="77"/>
  <c r="K256" i="36"/>
  <c r="K258" i="36" s="1"/>
  <c r="K271" i="36" s="1"/>
  <c r="L29" i="35" s="1"/>
  <c r="M29" i="35" s="1"/>
  <c r="N29" i="35" s="1"/>
  <c r="K26" i="35"/>
  <c r="K42" i="35"/>
  <c r="I58" i="35"/>
  <c r="H388" i="36"/>
  <c r="I7" i="35"/>
  <c r="G388" i="36"/>
  <c r="H58" i="35"/>
  <c r="K458" i="36"/>
  <c r="K445" i="36" s="1"/>
  <c r="K352" i="36"/>
  <c r="K339" i="36" s="1"/>
  <c r="K405" i="36"/>
  <c r="K392" i="36" s="1"/>
  <c r="K162" i="36"/>
  <c r="K156" i="36" s="1"/>
  <c r="G159" i="30"/>
  <c r="H11" i="77"/>
  <c r="H12" i="77"/>
  <c r="H13" i="77" s="1"/>
  <c r="I41" i="35"/>
  <c r="I48" i="35" s="1"/>
  <c r="J22" i="71" s="1"/>
  <c r="H335" i="36"/>
  <c r="K283" i="36"/>
  <c r="I469" i="36"/>
  <c r="I191" i="36"/>
  <c r="I208" i="36" s="1"/>
  <c r="J9" i="35" s="1"/>
  <c r="I188" i="36"/>
  <c r="I183" i="36"/>
  <c r="L46" i="35"/>
  <c r="M46" i="35" s="1"/>
  <c r="N46" i="35" s="1"/>
  <c r="L333" i="36"/>
  <c r="L212" i="36"/>
  <c r="I9" i="35"/>
  <c r="J17" i="78"/>
  <c r="K305" i="36"/>
  <c r="I25" i="35"/>
  <c r="I32" i="35" s="1"/>
  <c r="G22" i="71" s="1"/>
  <c r="H274" i="36"/>
  <c r="I15" i="77"/>
  <c r="K36" i="35"/>
  <c r="I160" i="30"/>
  <c r="I363" i="36"/>
  <c r="T74" i="25"/>
  <c r="T100" i="25" s="1"/>
  <c r="T99" i="25"/>
  <c r="L98" i="21"/>
  <c r="L89" i="21" s="1"/>
  <c r="L88" i="21" s="1"/>
  <c r="L75" i="21" s="1"/>
  <c r="I22" i="71" s="1"/>
  <c r="L92" i="78"/>
  <c r="L83" i="78" s="1"/>
  <c r="L82" i="78" s="1"/>
  <c r="L70" i="78" s="1"/>
  <c r="I345" i="36"/>
  <c r="I382" i="36" s="1"/>
  <c r="J59" i="35" s="1"/>
  <c r="I362" i="36"/>
  <c r="I346" i="36"/>
  <c r="I366" i="36" s="1"/>
  <c r="I383" i="36" s="1"/>
  <c r="J60" i="35" s="1"/>
  <c r="F18" i="71"/>
  <c r="H18" i="71" s="1"/>
  <c r="H39" i="21"/>
  <c r="K26" i="21"/>
  <c r="K18" i="21" s="1"/>
  <c r="K17" i="21" s="1"/>
  <c r="K5" i="21" s="1"/>
  <c r="C21" i="71" s="1"/>
  <c r="K26" i="78"/>
  <c r="K17" i="78" s="1"/>
  <c r="K16" i="78" s="1"/>
  <c r="K4" i="78" s="1"/>
  <c r="L10" i="35"/>
  <c r="M10" i="35" s="1"/>
  <c r="N10" i="35" s="1"/>
  <c r="L209" i="36"/>
  <c r="I416" i="36"/>
  <c r="T81" i="25"/>
  <c r="T93" i="25"/>
  <c r="K262" i="36"/>
  <c r="K264" i="36" s="1"/>
  <c r="K273" i="36" s="1"/>
  <c r="G19" i="77"/>
  <c r="I399" i="36"/>
  <c r="I420" i="36" s="1"/>
  <c r="I437" i="36" s="1"/>
  <c r="J76" i="35" s="1"/>
  <c r="I398" i="36"/>
  <c r="I419" i="36" s="1"/>
  <c r="I436" i="36" s="1"/>
  <c r="J75" i="35" s="1"/>
  <c r="I415" i="36"/>
  <c r="K119" i="36"/>
  <c r="K123" i="36"/>
  <c r="K121" i="36"/>
  <c r="K122" i="36"/>
  <c r="L270" i="36"/>
  <c r="I161" i="36"/>
  <c r="G488" i="36"/>
  <c r="I185" i="36"/>
  <c r="I189" i="36"/>
  <c r="G267" i="36"/>
  <c r="J406" i="36"/>
  <c r="J393" i="36" s="1"/>
  <c r="J459" i="36"/>
  <c r="J446" i="36" s="1"/>
  <c r="J353" i="36"/>
  <c r="J340" i="36" s="1"/>
  <c r="J163" i="36"/>
  <c r="J157" i="36" s="1"/>
  <c r="I59" i="35"/>
  <c r="G14" i="77"/>
  <c r="L271" i="36"/>
  <c r="I468" i="36"/>
  <c r="I471" i="36" s="1"/>
  <c r="I451" i="36"/>
  <c r="I472" i="36" s="1"/>
  <c r="I489" i="36" s="1"/>
  <c r="J91" i="35" s="1"/>
  <c r="I452" i="36"/>
  <c r="I473" i="36" s="1"/>
  <c r="I490" i="36" s="1"/>
  <c r="I125" i="36"/>
  <c r="I244" i="36"/>
  <c r="I305" i="36"/>
  <c r="I450" i="36"/>
  <c r="J89" i="21"/>
  <c r="H17" i="77"/>
  <c r="H18" i="77" s="1"/>
  <c r="H16" i="77"/>
  <c r="S94" i="25"/>
  <c r="J97" i="36"/>
  <c r="J361" i="36" s="1"/>
  <c r="H70" i="78"/>
  <c r="G32" i="35"/>
  <c r="G20" i="71" s="1"/>
  <c r="H20" i="71" s="1"/>
  <c r="H488" i="36"/>
  <c r="K130" i="36"/>
  <c r="L53" i="35"/>
  <c r="L102" i="35"/>
  <c r="L101" i="35" s="1"/>
  <c r="L70" i="35"/>
  <c r="L69" i="35" s="1"/>
  <c r="L37" i="35"/>
  <c r="L86" i="35"/>
  <c r="L85" i="35" s="1"/>
  <c r="L19" i="35"/>
  <c r="K96" i="36"/>
  <c r="K94" i="36"/>
  <c r="K95" i="36"/>
  <c r="K93" i="36"/>
  <c r="J408" i="36"/>
  <c r="J395" i="36" s="1"/>
  <c r="J355" i="36"/>
  <c r="J342" i="36" s="1"/>
  <c r="J461" i="36"/>
  <c r="J448" i="36" s="1"/>
  <c r="J165" i="36"/>
  <c r="J159" i="36" s="1"/>
  <c r="J133" i="36"/>
  <c r="J134" i="36"/>
  <c r="J131" i="36"/>
  <c r="J132" i="36"/>
  <c r="I76" i="35"/>
  <c r="J83" i="78"/>
  <c r="H162" i="30"/>
  <c r="H163" i="30" s="1"/>
  <c r="H161" i="30"/>
  <c r="H159" i="30" s="1"/>
  <c r="G206" i="36"/>
  <c r="L332" i="36"/>
  <c r="L211" i="36"/>
  <c r="K244" i="36"/>
  <c r="L210" i="36"/>
  <c r="G154" i="30"/>
  <c r="J460" i="36"/>
  <c r="J447" i="36" s="1"/>
  <c r="J469" i="36" s="1"/>
  <c r="J407" i="36"/>
  <c r="J394" i="36" s="1"/>
  <c r="J354" i="36"/>
  <c r="J341" i="36" s="1"/>
  <c r="J164" i="36"/>
  <c r="J158" i="36" s="1"/>
  <c r="J184" i="36" s="1"/>
  <c r="I20" i="77"/>
  <c r="K52" i="35"/>
  <c r="I165" i="30"/>
  <c r="I60" i="35"/>
  <c r="I418" i="36"/>
  <c r="G328" i="36"/>
  <c r="I53" i="21"/>
  <c r="H167" i="30"/>
  <c r="H168" i="30" s="1"/>
  <c r="H166" i="30"/>
  <c r="I75" i="35"/>
  <c r="L272" i="36"/>
  <c r="M45" i="35"/>
  <c r="N45" i="35" s="1"/>
  <c r="I124" i="36"/>
  <c r="I243" i="36"/>
  <c r="I248" i="36" s="1"/>
  <c r="I304" i="36"/>
  <c r="I309" i="36" s="1"/>
  <c r="M11" i="35"/>
  <c r="N11" i="35" s="1"/>
  <c r="H156" i="30"/>
  <c r="H154" i="30" s="1"/>
  <c r="H157" i="30"/>
  <c r="H158" i="30" s="1"/>
  <c r="I74" i="35"/>
  <c r="H442" i="36"/>
  <c r="K222" i="36"/>
  <c r="J462" i="36"/>
  <c r="J449" i="36" s="1"/>
  <c r="J470" i="36" s="1"/>
  <c r="J356" i="36"/>
  <c r="J343" i="36" s="1"/>
  <c r="J364" i="36" s="1"/>
  <c r="J409" i="36"/>
  <c r="J396" i="36" s="1"/>
  <c r="J417" i="36" s="1"/>
  <c r="J166" i="36"/>
  <c r="J160" i="36" s="1"/>
  <c r="J186" i="36" s="1"/>
  <c r="G435" i="36"/>
  <c r="H75" i="21"/>
  <c r="H169" i="30"/>
  <c r="H170" i="30" s="1"/>
  <c r="H24" i="77"/>
  <c r="H25" i="77" s="1"/>
  <c r="K307" i="36"/>
  <c r="K311" i="36"/>
  <c r="K312" i="36" s="1"/>
  <c r="K329" i="36" s="1"/>
  <c r="I135" i="36"/>
  <c r="I136" i="36" s="1"/>
  <c r="I344" i="36"/>
  <c r="R69" i="78"/>
  <c r="R70" i="78"/>
  <c r="M30" i="35"/>
  <c r="N30" i="35" s="1"/>
  <c r="H190" i="36"/>
  <c r="H207" i="36" s="1"/>
  <c r="I8" i="35" s="1"/>
  <c r="K63" i="21"/>
  <c r="K59" i="78"/>
  <c r="J98" i="36"/>
  <c r="S100" i="25"/>
  <c r="C18" i="71"/>
  <c r="E18" i="71" s="1"/>
  <c r="I155" i="30"/>
  <c r="I10" i="77"/>
  <c r="K18" i="35"/>
  <c r="H21" i="77"/>
  <c r="H22" i="77"/>
  <c r="H23" i="77" s="1"/>
  <c r="K246" i="36"/>
  <c r="K250" i="36"/>
  <c r="K251" i="36" s="1"/>
  <c r="K268" i="36" s="1"/>
  <c r="I361" i="36"/>
  <c r="I365" i="36" s="1"/>
  <c r="J18" i="21"/>
  <c r="K313" i="36"/>
  <c r="K330" i="36" s="1"/>
  <c r="L334" i="36" l="1"/>
  <c r="J414" i="36"/>
  <c r="L27" i="35"/>
  <c r="M27" i="35" s="1"/>
  <c r="J135" i="36"/>
  <c r="J136" i="36" s="1"/>
  <c r="I65" i="35"/>
  <c r="I328" i="36"/>
  <c r="J363" i="36"/>
  <c r="J365" i="36" s="1"/>
  <c r="H164" i="30"/>
  <c r="I129" i="36"/>
  <c r="I488" i="36" s="1"/>
  <c r="J416" i="36"/>
  <c r="L44" i="35"/>
  <c r="M44" i="35" s="1"/>
  <c r="N44" i="35" s="1"/>
  <c r="L331" i="36"/>
  <c r="I81" i="35"/>
  <c r="I435" i="36"/>
  <c r="J74" i="35" s="1"/>
  <c r="J81" i="35" s="1"/>
  <c r="J161" i="36"/>
  <c r="I187" i="36"/>
  <c r="T69" i="78"/>
  <c r="K22" i="71"/>
  <c r="L42" i="35"/>
  <c r="M42" i="35" s="1"/>
  <c r="N42" i="35" s="1"/>
  <c r="L329" i="36"/>
  <c r="L26" i="35"/>
  <c r="M26" i="35" s="1"/>
  <c r="N26" i="35" s="1"/>
  <c r="L268" i="36"/>
  <c r="J10" i="77"/>
  <c r="L18" i="35"/>
  <c r="J155" i="30"/>
  <c r="J346" i="36"/>
  <c r="J366" i="36" s="1"/>
  <c r="J383" i="36" s="1"/>
  <c r="J362" i="36"/>
  <c r="J345" i="36"/>
  <c r="J382" i="36" s="1"/>
  <c r="H213" i="36"/>
  <c r="J17" i="21"/>
  <c r="I12" i="77"/>
  <c r="I13" i="77" s="1"/>
  <c r="I11" i="77"/>
  <c r="K54" i="21"/>
  <c r="I18" i="71"/>
  <c r="K18" i="71" s="1"/>
  <c r="J468" i="36"/>
  <c r="J452" i="36"/>
  <c r="J473" i="36" s="1"/>
  <c r="J490" i="36" s="1"/>
  <c r="K92" i="35" s="1"/>
  <c r="J451" i="36"/>
  <c r="J472" i="36" s="1"/>
  <c r="J489" i="36" s="1"/>
  <c r="K91" i="35" s="1"/>
  <c r="I14" i="35"/>
  <c r="D22" i="71" s="1"/>
  <c r="J92" i="35"/>
  <c r="H90" i="35"/>
  <c r="G495" i="36"/>
  <c r="I157" i="30"/>
  <c r="I158" i="30" s="1"/>
  <c r="I156" i="30"/>
  <c r="L26" i="78"/>
  <c r="L17" i="78" s="1"/>
  <c r="L16" i="78" s="1"/>
  <c r="L4" i="78" s="1"/>
  <c r="L26" i="21"/>
  <c r="L36" i="35"/>
  <c r="J160" i="30"/>
  <c r="J15" i="77"/>
  <c r="J399" i="36"/>
  <c r="J420" i="36" s="1"/>
  <c r="J437" i="36" s="1"/>
  <c r="K76" i="35" s="1"/>
  <c r="J398" i="36"/>
  <c r="J419" i="36" s="1"/>
  <c r="J436" i="36" s="1"/>
  <c r="J415" i="36"/>
  <c r="J418" i="36" s="1"/>
  <c r="I161" i="30"/>
  <c r="I162" i="30"/>
  <c r="I163" i="30" s="1"/>
  <c r="J189" i="36"/>
  <c r="J185" i="36"/>
  <c r="J88" i="21"/>
  <c r="J16" i="78"/>
  <c r="I267" i="36"/>
  <c r="I24" i="77"/>
  <c r="I25" i="77" s="1"/>
  <c r="I19" i="77" s="1"/>
  <c r="I169" i="30"/>
  <c r="I170" i="30" s="1"/>
  <c r="I164" i="30" s="1"/>
  <c r="J344" i="36"/>
  <c r="G213" i="36"/>
  <c r="H7" i="35"/>
  <c r="K459" i="36"/>
  <c r="K446" i="36" s="1"/>
  <c r="K353" i="36"/>
  <c r="K340" i="36" s="1"/>
  <c r="K406" i="36"/>
  <c r="K393" i="36" s="1"/>
  <c r="K163" i="36"/>
  <c r="K157" i="36" s="1"/>
  <c r="I17" i="77"/>
  <c r="I18" i="77" s="1"/>
  <c r="I16" i="77"/>
  <c r="I190" i="36"/>
  <c r="I207" i="36" s="1"/>
  <c r="J8" i="35" s="1"/>
  <c r="H9" i="77"/>
  <c r="J82" i="78"/>
  <c r="H74" i="35"/>
  <c r="G442" i="36"/>
  <c r="I167" i="30"/>
  <c r="I168" i="30" s="1"/>
  <c r="I166" i="30"/>
  <c r="I22" i="77"/>
  <c r="I23" i="77" s="1"/>
  <c r="I21" i="77"/>
  <c r="M63" i="21"/>
  <c r="M54" i="21" s="1"/>
  <c r="M53" i="21" s="1"/>
  <c r="M40" i="21" s="1"/>
  <c r="F23" i="71" s="1"/>
  <c r="M59" i="78"/>
  <c r="J20" i="77"/>
  <c r="L52" i="35"/>
  <c r="J165" i="30"/>
  <c r="J124" i="36"/>
  <c r="J243" i="36"/>
  <c r="J304" i="36"/>
  <c r="J182" i="36"/>
  <c r="L31" i="35"/>
  <c r="M31" i="35" s="1"/>
  <c r="N31" i="35" s="1"/>
  <c r="L273" i="36"/>
  <c r="L63" i="21"/>
  <c r="L54" i="21" s="1"/>
  <c r="L53" i="21" s="1"/>
  <c r="L40" i="21" s="1"/>
  <c r="F22" i="71" s="1"/>
  <c r="L59" i="78"/>
  <c r="M98" i="21"/>
  <c r="M92" i="78"/>
  <c r="H25" i="35"/>
  <c r="G274" i="36"/>
  <c r="M26" i="21"/>
  <c r="M18" i="21" s="1"/>
  <c r="M17" i="21" s="1"/>
  <c r="M5" i="21" s="1"/>
  <c r="C23" i="71" s="1"/>
  <c r="M26" i="78"/>
  <c r="M17" i="78" s="1"/>
  <c r="M16" i="78" s="1"/>
  <c r="M4" i="78" s="1"/>
  <c r="K461" i="36"/>
  <c r="K448" i="36" s="1"/>
  <c r="K355" i="36"/>
  <c r="K342" i="36" s="1"/>
  <c r="K408" i="36"/>
  <c r="K395" i="36" s="1"/>
  <c r="K165" i="36"/>
  <c r="K159" i="36" s="1"/>
  <c r="L43" i="35"/>
  <c r="M43" i="35" s="1"/>
  <c r="L330" i="36"/>
  <c r="J125" i="36"/>
  <c r="J305" i="36"/>
  <c r="J244" i="36"/>
  <c r="I40" i="21"/>
  <c r="J467" i="36"/>
  <c r="J471" i="36" s="1"/>
  <c r="K460" i="36"/>
  <c r="K447" i="36" s="1"/>
  <c r="K354" i="36"/>
  <c r="K341" i="36" s="1"/>
  <c r="K407" i="36"/>
  <c r="K394" i="36" s="1"/>
  <c r="K416" i="36" s="1"/>
  <c r="K164" i="36"/>
  <c r="K158" i="36" s="1"/>
  <c r="K184" i="36" s="1"/>
  <c r="K134" i="36"/>
  <c r="K131" i="36"/>
  <c r="K132" i="36"/>
  <c r="K133" i="36"/>
  <c r="H65" i="35"/>
  <c r="J41" i="35"/>
  <c r="J48" i="35" s="1"/>
  <c r="J23" i="71" s="1"/>
  <c r="I335" i="36"/>
  <c r="H19" i="77"/>
  <c r="J397" i="36"/>
  <c r="H41" i="35"/>
  <c r="G335" i="36"/>
  <c r="J450" i="36"/>
  <c r="K356" i="36"/>
  <c r="K343" i="36" s="1"/>
  <c r="K364" i="36" s="1"/>
  <c r="K462" i="36"/>
  <c r="K449" i="36" s="1"/>
  <c r="K470" i="36" s="1"/>
  <c r="K409" i="36"/>
  <c r="K396" i="36" s="1"/>
  <c r="K417" i="36" s="1"/>
  <c r="K166" i="36"/>
  <c r="K160" i="36" s="1"/>
  <c r="K186" i="36" s="1"/>
  <c r="I90" i="35"/>
  <c r="I97" i="35" s="1"/>
  <c r="H495" i="36"/>
  <c r="H14" i="77"/>
  <c r="J183" i="36"/>
  <c r="J188" i="36"/>
  <c r="J190" i="36" s="1"/>
  <c r="J207" i="36" s="1"/>
  <c r="K8" i="35" s="1"/>
  <c r="J191" i="36"/>
  <c r="J208" i="36" s="1"/>
  <c r="K9" i="35" s="1"/>
  <c r="K97" i="36"/>
  <c r="K467" i="36" s="1"/>
  <c r="T94" i="25"/>
  <c r="H22" i="71"/>
  <c r="I495" i="36" l="1"/>
  <c r="J90" i="35"/>
  <c r="J129" i="36"/>
  <c r="J381" i="36" s="1"/>
  <c r="K161" i="36"/>
  <c r="L21" i="35" s="1"/>
  <c r="M21" i="35" s="1"/>
  <c r="J435" i="36"/>
  <c r="I154" i="30"/>
  <c r="N26" i="78" s="1"/>
  <c r="N17" i="78" s="1"/>
  <c r="N16" i="78" s="1"/>
  <c r="N4" i="78" s="1"/>
  <c r="K182" i="36"/>
  <c r="K187" i="36" s="1"/>
  <c r="K206" i="36" s="1"/>
  <c r="K363" i="36"/>
  <c r="I442" i="36"/>
  <c r="I206" i="36"/>
  <c r="K450" i="36"/>
  <c r="I381" i="36"/>
  <c r="K74" i="35"/>
  <c r="J442" i="36"/>
  <c r="I159" i="30"/>
  <c r="K469" i="36"/>
  <c r="J169" i="30"/>
  <c r="J170" i="30" s="1"/>
  <c r="J24" i="77"/>
  <c r="J25" i="77" s="1"/>
  <c r="K345" i="36"/>
  <c r="K382" i="36" s="1"/>
  <c r="L59" i="35" s="1"/>
  <c r="K362" i="36"/>
  <c r="K346" i="36"/>
  <c r="K366" i="36" s="1"/>
  <c r="K383" i="36" s="1"/>
  <c r="L60" i="35" s="1"/>
  <c r="I274" i="36"/>
  <c r="J25" i="35"/>
  <c r="J32" i="35" s="1"/>
  <c r="G23" i="71" s="1"/>
  <c r="H23" i="71" s="1"/>
  <c r="L18" i="21"/>
  <c r="J11" i="77"/>
  <c r="J12" i="77"/>
  <c r="J13" i="77" s="1"/>
  <c r="H48" i="35"/>
  <c r="J21" i="71" s="1"/>
  <c r="K21" i="71" s="1"/>
  <c r="J488" i="36"/>
  <c r="J22" i="77"/>
  <c r="J23" i="77" s="1"/>
  <c r="J21" i="77"/>
  <c r="K451" i="36"/>
  <c r="K472" i="36" s="1"/>
  <c r="K489" i="36" s="1"/>
  <c r="K452" i="36"/>
  <c r="K473" i="36" s="1"/>
  <c r="K490" i="36" s="1"/>
  <c r="K468" i="36"/>
  <c r="K471" i="36" s="1"/>
  <c r="K75" i="35"/>
  <c r="H97" i="35"/>
  <c r="J97" i="35"/>
  <c r="J75" i="21"/>
  <c r="J5" i="21"/>
  <c r="K185" i="36"/>
  <c r="K189" i="36"/>
  <c r="H81" i="35"/>
  <c r="K344" i="36"/>
  <c r="K124" i="36"/>
  <c r="K129" i="36" s="1"/>
  <c r="K243" i="36"/>
  <c r="K248" i="36" s="1"/>
  <c r="K267" i="36" s="1"/>
  <c r="K304" i="36"/>
  <c r="K309" i="36" s="1"/>
  <c r="K328" i="36" s="1"/>
  <c r="K135" i="36"/>
  <c r="K136" i="36" s="1"/>
  <c r="N27" i="35" s="1"/>
  <c r="F19" i="71"/>
  <c r="H19" i="71" s="1"/>
  <c r="H32" i="35"/>
  <c r="G21" i="71" s="1"/>
  <c r="J187" i="36"/>
  <c r="J206" i="36" s="1"/>
  <c r="H14" i="35"/>
  <c r="D21" i="71" s="1"/>
  <c r="E21" i="71" s="1"/>
  <c r="K361" i="36"/>
  <c r="K414" i="36"/>
  <c r="N26" i="21"/>
  <c r="N18" i="21" s="1"/>
  <c r="N17" i="21" s="1"/>
  <c r="N5" i="21" s="1"/>
  <c r="C24" i="71" s="1"/>
  <c r="K53" i="21"/>
  <c r="K59" i="35"/>
  <c r="K191" i="36"/>
  <c r="K208" i="36" s="1"/>
  <c r="K188" i="36"/>
  <c r="K190" i="36" s="1"/>
  <c r="K207" i="36" s="1"/>
  <c r="K183" i="36"/>
  <c r="J166" i="30"/>
  <c r="J167" i="30"/>
  <c r="J168" i="30" s="1"/>
  <c r="K399" i="36"/>
  <c r="K420" i="36" s="1"/>
  <c r="K437" i="36" s="1"/>
  <c r="K398" i="36"/>
  <c r="K419" i="36" s="1"/>
  <c r="K436" i="36" s="1"/>
  <c r="L75" i="35" s="1"/>
  <c r="K415" i="36"/>
  <c r="M83" i="78"/>
  <c r="J309" i="36"/>
  <c r="J328" i="36" s="1"/>
  <c r="J70" i="78"/>
  <c r="I14" i="77"/>
  <c r="K397" i="36"/>
  <c r="J17" i="77"/>
  <c r="J18" i="77" s="1"/>
  <c r="J16" i="77"/>
  <c r="I9" i="77"/>
  <c r="N98" i="21"/>
  <c r="N89" i="21" s="1"/>
  <c r="N88" i="21" s="1"/>
  <c r="N75" i="21" s="1"/>
  <c r="I24" i="71" s="1"/>
  <c r="N92" i="78"/>
  <c r="N83" i="78" s="1"/>
  <c r="N82" i="78" s="1"/>
  <c r="N70" i="78" s="1"/>
  <c r="J156" i="30"/>
  <c r="J157" i="30"/>
  <c r="J158" i="30" s="1"/>
  <c r="M89" i="21"/>
  <c r="J248" i="36"/>
  <c r="J267" i="36" s="1"/>
  <c r="J4" i="78"/>
  <c r="J161" i="30"/>
  <c r="J162" i="30"/>
  <c r="J163" i="30" s="1"/>
  <c r="K60" i="35"/>
  <c r="L383" i="36"/>
  <c r="K58" i="35" l="1"/>
  <c r="J388" i="36"/>
  <c r="K365" i="36"/>
  <c r="K381" i="36" s="1"/>
  <c r="L381" i="36" s="1"/>
  <c r="L382" i="36"/>
  <c r="K488" i="36"/>
  <c r="L488" i="36" s="1"/>
  <c r="J164" i="30"/>
  <c r="J159" i="30"/>
  <c r="O59" i="78" s="1"/>
  <c r="P59" i="78" s="1"/>
  <c r="M75" i="35"/>
  <c r="I213" i="36"/>
  <c r="J7" i="35"/>
  <c r="J14" i="35" s="1"/>
  <c r="D23" i="71" s="1"/>
  <c r="E23" i="71" s="1"/>
  <c r="J58" i="35"/>
  <c r="J65" i="35" s="1"/>
  <c r="I388" i="36"/>
  <c r="L8" i="35"/>
  <c r="M8" i="35" s="1"/>
  <c r="N8" i="35" s="1"/>
  <c r="L207" i="36"/>
  <c r="L9" i="35"/>
  <c r="M9" i="35" s="1"/>
  <c r="N9" i="35" s="1"/>
  <c r="L208" i="36"/>
  <c r="I20" i="71"/>
  <c r="K20" i="71" s="1"/>
  <c r="L92" i="35"/>
  <c r="M92" i="35" s="1"/>
  <c r="L490" i="36"/>
  <c r="L17" i="21"/>
  <c r="M82" i="78"/>
  <c r="J154" i="30"/>
  <c r="K418" i="36"/>
  <c r="K435" i="36" s="1"/>
  <c r="L91" i="35"/>
  <c r="M91" i="35" s="1"/>
  <c r="L489" i="36"/>
  <c r="N63" i="21"/>
  <c r="N59" i="78"/>
  <c r="K65" i="35"/>
  <c r="M58" i="35"/>
  <c r="O63" i="21"/>
  <c r="O54" i="21" s="1"/>
  <c r="O53" i="21" s="1"/>
  <c r="O40" i="21" s="1"/>
  <c r="F25" i="71" s="1"/>
  <c r="L7" i="35"/>
  <c r="K213" i="36"/>
  <c r="L58" i="35"/>
  <c r="L65" i="35" s="1"/>
  <c r="K388" i="36"/>
  <c r="L388" i="36" s="1"/>
  <c r="K25" i="35"/>
  <c r="K32" i="35" s="1"/>
  <c r="G24" i="71" s="1"/>
  <c r="J274" i="36"/>
  <c r="L267" i="36"/>
  <c r="L274" i="36" s="1"/>
  <c r="L76" i="35"/>
  <c r="M76" i="35" s="1"/>
  <c r="L437" i="36"/>
  <c r="L41" i="35"/>
  <c r="L48" i="35" s="1"/>
  <c r="J25" i="71" s="1"/>
  <c r="K335" i="36"/>
  <c r="J9" i="77"/>
  <c r="K9" i="77" s="1"/>
  <c r="M60" i="35"/>
  <c r="J335" i="36"/>
  <c r="K41" i="35"/>
  <c r="L328" i="36"/>
  <c r="L335" i="36" s="1"/>
  <c r="L25" i="35"/>
  <c r="L32" i="35" s="1"/>
  <c r="G25" i="71" s="1"/>
  <c r="K274" i="36"/>
  <c r="O98" i="21"/>
  <c r="O92" i="78"/>
  <c r="O83" i="78" s="1"/>
  <c r="O82" i="78" s="1"/>
  <c r="O70" i="78" s="1"/>
  <c r="J14" i="77"/>
  <c r="K14" i="77" s="1"/>
  <c r="K40" i="21"/>
  <c r="K7" i="35"/>
  <c r="J213" i="36"/>
  <c r="L206" i="36"/>
  <c r="L436" i="36"/>
  <c r="N43" i="35"/>
  <c r="M59" i="35"/>
  <c r="M88" i="21"/>
  <c r="M25" i="35"/>
  <c r="C20" i="71"/>
  <c r="E20" i="71" s="1"/>
  <c r="J495" i="36"/>
  <c r="K90" i="35"/>
  <c r="J19" i="77"/>
  <c r="K19" i="77" s="1"/>
  <c r="K81" i="35"/>
  <c r="P92" i="78" l="1"/>
  <c r="L90" i="35"/>
  <c r="L97" i="35" s="1"/>
  <c r="K495" i="36"/>
  <c r="L213" i="36"/>
  <c r="O26" i="78"/>
  <c r="O26" i="21"/>
  <c r="N58" i="35"/>
  <c r="M65" i="35"/>
  <c r="P83" i="78"/>
  <c r="S92" i="78"/>
  <c r="F21" i="71"/>
  <c r="H21" i="71" s="1"/>
  <c r="M70" i="78"/>
  <c r="P70" i="78" s="1"/>
  <c r="P82" i="78"/>
  <c r="U59" i="78"/>
  <c r="S59" i="78"/>
  <c r="Z59" i="78"/>
  <c r="V59" i="78"/>
  <c r="V49" i="78" s="1"/>
  <c r="V37" i="78" s="1"/>
  <c r="T37" i="78" s="1"/>
  <c r="T92" i="78"/>
  <c r="Z92" i="78" s="1"/>
  <c r="H25" i="71"/>
  <c r="N25" i="35"/>
  <c r="M32" i="35"/>
  <c r="G26" i="71" s="1"/>
  <c r="K442" i="36"/>
  <c r="L442" i="36" s="1"/>
  <c r="L74" i="35"/>
  <c r="L435" i="36"/>
  <c r="K14" i="35"/>
  <c r="D24" i="71" s="1"/>
  <c r="E24" i="71" s="1"/>
  <c r="M7" i="35"/>
  <c r="K97" i="35"/>
  <c r="M90" i="35"/>
  <c r="N54" i="21"/>
  <c r="P63" i="21"/>
  <c r="Z63" i="21"/>
  <c r="L5" i="21"/>
  <c r="O89" i="21"/>
  <c r="P98" i="21"/>
  <c r="Z98" i="21"/>
  <c r="K48" i="35"/>
  <c r="J24" i="71" s="1"/>
  <c r="K24" i="71" s="1"/>
  <c r="M41" i="35"/>
  <c r="L14" i="35"/>
  <c r="D25" i="71" s="1"/>
  <c r="M75" i="21"/>
  <c r="L495" i="36"/>
  <c r="S70" i="78" l="1"/>
  <c r="AE63" i="21"/>
  <c r="U63" i="21"/>
  <c r="Y63" i="21"/>
  <c r="N53" i="21"/>
  <c r="P54" i="21"/>
  <c r="Z53" i="21"/>
  <c r="AA63" i="21"/>
  <c r="S82" i="78"/>
  <c r="Y98" i="21"/>
  <c r="U98" i="21"/>
  <c r="AE98" i="21"/>
  <c r="N41" i="35"/>
  <c r="M48" i="35"/>
  <c r="J26" i="71" s="1"/>
  <c r="D5" i="71"/>
  <c r="Z88" i="21"/>
  <c r="AA98" i="21"/>
  <c r="O88" i="21"/>
  <c r="P89" i="21"/>
  <c r="N7" i="35"/>
  <c r="M14" i="35"/>
  <c r="D26" i="71" s="1"/>
  <c r="D4" i="71" s="1"/>
  <c r="O18" i="21"/>
  <c r="Z26" i="21"/>
  <c r="P26" i="21"/>
  <c r="N90" i="35"/>
  <c r="M97" i="35"/>
  <c r="U92" i="78"/>
  <c r="T82" i="78"/>
  <c r="O17" i="78"/>
  <c r="P26" i="78"/>
  <c r="T26" i="78"/>
  <c r="L81" i="35"/>
  <c r="M74" i="35"/>
  <c r="I23" i="71"/>
  <c r="K23" i="71" s="1"/>
  <c r="C22" i="71"/>
  <c r="E22" i="71" s="1"/>
  <c r="U37" i="78"/>
  <c r="Z37" i="78"/>
  <c r="AA89" i="21" l="1"/>
  <c r="F41" i="71"/>
  <c r="O75" i="21"/>
  <c r="P88" i="21"/>
  <c r="N40" i="21"/>
  <c r="P53" i="21"/>
  <c r="U82" i="78"/>
  <c r="T70" i="78"/>
  <c r="AA54" i="21"/>
  <c r="E41" i="71"/>
  <c r="Y26" i="21"/>
  <c r="AE26" i="21"/>
  <c r="U26" i="21"/>
  <c r="M81" i="35"/>
  <c r="N74" i="35"/>
  <c r="Z75" i="21"/>
  <c r="U26" i="78"/>
  <c r="T16" i="78"/>
  <c r="Z82" i="78"/>
  <c r="Z26" i="78"/>
  <c r="S26" i="78"/>
  <c r="O17" i="21"/>
  <c r="P18" i="21"/>
  <c r="Z17" i="21"/>
  <c r="AA26" i="21"/>
  <c r="O16" i="78"/>
  <c r="P17" i="78"/>
  <c r="D6" i="71"/>
  <c r="Z40" i="21"/>
  <c r="U70" i="78" l="1"/>
  <c r="Z70" i="78"/>
  <c r="AE53" i="21"/>
  <c r="D31" i="71"/>
  <c r="F31" i="71"/>
  <c r="Y53" i="21"/>
  <c r="U53" i="21"/>
  <c r="F24" i="71"/>
  <c r="H24" i="71" s="1"/>
  <c r="P40" i="21"/>
  <c r="O4" i="78"/>
  <c r="P4" i="78" s="1"/>
  <c r="P16" i="78"/>
  <c r="I25" i="71"/>
  <c r="K25" i="71" s="1"/>
  <c r="P75" i="21"/>
  <c r="F32" i="71" s="1"/>
  <c r="AA40" i="21"/>
  <c r="Q36" i="71"/>
  <c r="H5" i="71"/>
  <c r="Z5" i="21"/>
  <c r="E49" i="71"/>
  <c r="E51" i="71" s="1"/>
  <c r="E45" i="71"/>
  <c r="F49" i="71"/>
  <c r="F51" i="71" s="1"/>
  <c r="F45" i="71"/>
  <c r="O5" i="21"/>
  <c r="P17" i="21"/>
  <c r="AA17" i="21" s="1"/>
  <c r="T4" i="78"/>
  <c r="U4" i="78" s="1"/>
  <c r="D32" i="71"/>
  <c r="AE88" i="21"/>
  <c r="Y88" i="21"/>
  <c r="U88" i="21"/>
  <c r="H6" i="71"/>
  <c r="R36" i="71"/>
  <c r="AA53" i="21"/>
  <c r="D41" i="71"/>
  <c r="AA18" i="21"/>
  <c r="AA88" i="21"/>
  <c r="Q43" i="71" l="1"/>
  <c r="Q44" i="71" s="1"/>
  <c r="Q38" i="71"/>
  <c r="AE75" i="21"/>
  <c r="I26" i="71"/>
  <c r="Y75" i="21"/>
  <c r="H32" i="71" s="1"/>
  <c r="E32" i="71"/>
  <c r="U75" i="21"/>
  <c r="G32" i="71" s="1"/>
  <c r="Z16" i="78"/>
  <c r="S16" i="78"/>
  <c r="C25" i="71"/>
  <c r="E25" i="71" s="1"/>
  <c r="E26" i="71" s="1"/>
  <c r="P5" i="21"/>
  <c r="AA5" i="21" s="1"/>
  <c r="D49" i="71"/>
  <c r="D51" i="71" s="1"/>
  <c r="D45" i="71"/>
  <c r="Z4" i="78"/>
  <c r="S4" i="78"/>
  <c r="P36" i="71"/>
  <c r="H4" i="71"/>
  <c r="U16" i="78"/>
  <c r="F26" i="71"/>
  <c r="AE40" i="21"/>
  <c r="U40" i="21"/>
  <c r="G31" i="71" s="1"/>
  <c r="Y40" i="21"/>
  <c r="H31" i="71" s="1"/>
  <c r="E31" i="71"/>
  <c r="R43" i="71"/>
  <c r="R44" i="71" s="1"/>
  <c r="R38" i="71"/>
  <c r="AA75" i="21"/>
  <c r="F30" i="71"/>
  <c r="AE17" i="21"/>
  <c r="D30" i="71"/>
  <c r="Y17" i="21"/>
  <c r="U17" i="21"/>
  <c r="P43" i="71" l="1"/>
  <c r="P44" i="71" s="1"/>
  <c r="P38" i="71"/>
  <c r="C5" i="71"/>
  <c r="E5" i="71" s="1"/>
  <c r="H26" i="71"/>
  <c r="C6" i="71"/>
  <c r="E6" i="71" s="1"/>
  <c r="K26" i="71"/>
  <c r="C26" i="71"/>
  <c r="C4" i="71" s="1"/>
  <c r="E4" i="71" s="1"/>
  <c r="AE5" i="21"/>
  <c r="E30" i="71"/>
  <c r="Y5" i="21"/>
  <c r="H30" i="71" s="1"/>
  <c r="U5" i="21"/>
  <c r="G30" i="71" s="1"/>
  <c r="R39" i="71"/>
  <c r="S39" i="71"/>
  <c r="Q39" i="71"/>
</calcChain>
</file>

<file path=xl/comments1.xml><?xml version="1.0" encoding="utf-8"?>
<comments xmlns="http://schemas.openxmlformats.org/spreadsheetml/2006/main">
  <authors>
    <author>Dernerova, Sandra</author>
    <author>tc={8F211E33-8665-41DA-8F8A-410DC9D41CCF}</author>
  </authors>
  <commentList>
    <comment ref="K14" authorId="0" shapeId="0">
      <text>
        <r>
          <rPr>
            <b/>
            <sz val="9"/>
            <color indexed="81"/>
            <rFont val="Tahoma"/>
            <family val="2"/>
            <charset val="238"/>
          </rPr>
          <t>Dernerova, Sandra:</t>
        </r>
        <r>
          <rPr>
            <sz val="9"/>
            <color indexed="81"/>
            <rFont val="Tahoma"/>
            <family val="2"/>
            <charset val="238"/>
          </rPr>
          <t xml:space="preserve">
V zmysle príručky pre žiadateľov OP II</t>
        </r>
      </text>
    </comment>
    <comment ref="D116"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Variant A je bez nákupu zariadení</t>
        </r>
      </text>
    </comment>
  </commentList>
</comments>
</file>

<file path=xl/comments10.xml><?xml version="1.0" encoding="utf-8"?>
<comments xmlns="http://schemas.openxmlformats.org/spreadsheetml/2006/main">
  <authors>
    <author>tc={F6A9B06A-3BFD-41C1-9AF4-C9E771041489}</author>
    <author>tc={EF634D90-E450-4C95-A9B1-D9CC7BA9C42E}</author>
  </authors>
  <commentList>
    <comment ref="K22"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Odhad z údajov do okt. 2023</t>
        </r>
      </text>
    </comment>
    <comment ref="K93"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Odhad z údajov do okt. 2023</t>
        </r>
      </text>
    </comment>
  </commentList>
</comments>
</file>

<file path=xl/comments11.xml><?xml version="1.0" encoding="utf-8"?>
<comments xmlns="http://schemas.openxmlformats.org/spreadsheetml/2006/main">
  <authors>
    <author>tc={8076F6A5-B136-48E0-BDE1-AFB1AF63D41C}</author>
    <author>tc={FF6E49CB-1EA5-4F01-AE18-19BC9E039E77}</author>
    <author>tc={4E181BD9-765D-4064-94F9-0DCC34669CB1}</author>
    <author>tc={26B77C69-F697-47D2-AD29-AF0ECC409009}</author>
    <author>tc={C96ADE2E-F2E9-4E18-9160-41DDC68311E3}</author>
  </authors>
  <commentList>
    <comment ref="R41"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Zahrnúť aj multimode?</t>
        </r>
      </text>
    </comment>
    <comment ref="R54"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Zahrnúť aj multimode?</t>
        </r>
      </text>
    </comment>
    <comment ref="F58"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WiFi nie je použité v žiadnom variante</t>
        </r>
      </text>
    </comment>
    <comment ref="R68" authorId="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Zahrnúť aj multimode?</t>
        </r>
      </text>
    </comment>
    <comment ref="F72" authorId="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WiFi nie je použité v žiadnom variante</t>
        </r>
      </text>
    </comment>
  </commentList>
</comments>
</file>

<file path=xl/comments2.xml><?xml version="1.0" encoding="utf-8"?>
<comments xmlns="http://schemas.openxmlformats.org/spreadsheetml/2006/main">
  <authors>
    <author>Dernerova, Sandra</author>
  </authors>
  <commentList>
    <comment ref="E20" authorId="0" shapeId="0">
      <text>
        <r>
          <rPr>
            <b/>
            <sz val="9"/>
            <color indexed="81"/>
            <rFont val="Tahoma"/>
            <family val="2"/>
            <charset val="238"/>
          </rPr>
          <t>Dernerova, Sandra:</t>
        </r>
        <r>
          <rPr>
            <sz val="9"/>
            <color indexed="81"/>
            <rFont val="Tahoma"/>
            <family val="2"/>
            <charset val="238"/>
          </rPr>
          <t xml:space="preserve">
Tieto náklady sú na karte N_032 Zariadenia</t>
        </r>
      </text>
    </comment>
  </commentList>
</comments>
</file>

<file path=xl/comments3.xml><?xml version="1.0" encoding="utf-8"?>
<comments xmlns="http://schemas.openxmlformats.org/spreadsheetml/2006/main">
  <authors>
    <author>Author</author>
  </authors>
  <commentList>
    <comment ref="I5" authorId="0" shapeId="0">
      <text>
        <r>
          <rPr>
            <sz val="11"/>
            <color rgb="FF000000"/>
            <rFont val="Calibri"/>
            <family val="2"/>
            <charset val="238"/>
          </rPr>
          <t>Malo by byt aspon 2.1 na stanicu alebo podla vstupu od ZSR</t>
        </r>
      </text>
    </comment>
    <comment ref="I13" authorId="0" shapeId="0">
      <text>
        <r>
          <rPr>
            <sz val="11"/>
            <color rgb="FF000000"/>
            <rFont val="Calibri"/>
            <family val="2"/>
            <charset val="238"/>
          </rPr>
          <t>Nové OCL
POP ZSSK
iKVC ZSSK
OCL BID 
POP LEO Express</t>
        </r>
      </text>
    </comment>
    <comment ref="D17" authorId="0" shapeId="0">
      <text>
        <r>
          <rPr>
            <sz val="11"/>
            <color rgb="FF000000"/>
            <rFont val="Calibri"/>
            <family val="2"/>
            <charset val="238"/>
          </rPr>
          <t>[Threaded comment]
Your version of Excel allows you to read this threaded comment; however, any edits to it will get removed if the file is opened in a newer version of Excel. Learn more: https://go.microsoft.com/fwlink/?linkid=870924
Comment:
    Vo variante A nie je plán nakupovať zariadenia (info Igor)</t>
        </r>
      </text>
    </comment>
    <comment ref="J17" authorId="0" shapeId="0">
      <text>
        <r>
          <rPr>
            <sz val="11"/>
            <color rgb="FF000000"/>
            <rFont val="Calibri"/>
            <family val="2"/>
            <charset val="238"/>
          </rPr>
          <t>[Threaded comment]
Your version of Excel allows you to read this threaded comment; however, any edits to it will get removed if the file is opened in a newer version of Excel. Learn more: https://go.microsoft.com/fwlink/?linkid=870924
Comment:
    Zahrnúť aj multimode?
Reply:
    Čo je multimód?</t>
        </r>
      </text>
    </comment>
    <comment ref="B19" authorId="0" shapeId="0">
      <text>
        <r>
          <rPr>
            <sz val="11"/>
            <color rgb="FF000000"/>
            <rFont val="Calibri"/>
            <family val="2"/>
            <charset val="238"/>
          </rPr>
          <t>[Threaded comment]
Your version of Excel allows you to read this threaded comment; however, any edits to it will get removed if the file is opened in a newer version of Excel. Learn more: https://go.microsoft.com/fwlink/?linkid=870924
Comment:
    V každom</t>
        </r>
      </text>
    </comment>
    <comment ref="B20" authorId="0" shapeId="0">
      <text>
        <r>
          <rPr>
            <sz val="11"/>
            <color rgb="FF000000"/>
            <rFont val="Calibri"/>
            <family val="2"/>
            <charset val="238"/>
          </rPr>
          <t>[Threaded comment]
Your version of Excel allows you to read this threaded comment; however, any edits to it will get removed if the file is opened in a newer version of Excel. Learn more: https://go.microsoft.com/fwlink/?linkid=870924
Comment:
    V každom vozidle default</t>
        </r>
      </text>
    </comment>
    <comment ref="B21" authorId="0" shapeId="0">
      <text>
        <r>
          <rPr>
            <sz val="11"/>
            <color rgb="FF000000"/>
            <rFont val="Calibri"/>
            <family val="2"/>
            <charset val="238"/>
          </rPr>
          <t>[Threaded comment]
Your version of Excel allows you to read this threaded comment; however, any edits to it will get removed if the file is opened in a newer version of Excel. Learn more: https://go.microsoft.com/fwlink/?linkid=870924
Comment:
    Vo var B a C</t>
        </r>
      </text>
    </comment>
    <comment ref="H25" authorId="0" shapeId="0">
      <text>
        <r>
          <rPr>
            <b/>
            <sz val="9"/>
            <color indexed="81"/>
            <rFont val="Segoe UI"/>
            <family val="2"/>
            <charset val="238"/>
          </rPr>
          <t>Author:</t>
        </r>
        <r>
          <rPr>
            <sz val="9"/>
            <color indexed="81"/>
            <rFont val="Segoe UI"/>
            <family val="2"/>
            <charset val="238"/>
          </rPr>
          <t xml:space="preserve">
Potrebný NFC/EMV
Reader pri zadných dverách PAD
Položka by nebola nutná v prípade "bez TAP" pri výstupe</t>
        </r>
      </text>
    </comment>
    <comment ref="K26" authorId="0" shapeId="0">
      <text>
        <r>
          <rPr>
            <b/>
            <sz val="9"/>
            <color indexed="81"/>
            <rFont val="Segoe UI"/>
            <family val="2"/>
            <charset val="238"/>
          </rPr>
          <t>Author:</t>
        </r>
        <r>
          <rPr>
            <sz val="9"/>
            <color indexed="81"/>
            <rFont val="Segoe UI"/>
            <family val="2"/>
            <charset val="238"/>
          </rPr>
          <t xml:space="preserve">
Potrebný NFC/EMV/QR Reader pri zadných dverách PAD
</t>
        </r>
      </text>
    </comment>
    <comment ref="K29" authorId="0" shapeId="0">
      <text>
        <r>
          <rPr>
            <b/>
            <sz val="9"/>
            <color indexed="81"/>
            <rFont val="Segoe UI"/>
            <family val="2"/>
            <charset val="238"/>
          </rPr>
          <t>Author:</t>
        </r>
        <r>
          <rPr>
            <sz val="9"/>
            <color indexed="81"/>
            <rFont val="Segoe UI"/>
            <family val="2"/>
            <charset val="238"/>
          </rPr>
          <t xml:space="preserve">
existujúci MHD NFC Reader neumožňuje rozšírenie o QR/EMV, nutná výmena
</t>
        </r>
      </text>
    </comment>
    <comment ref="E35" authorId="0" shapeId="0">
      <text>
        <r>
          <rPr>
            <sz val="11"/>
            <color rgb="FF000000"/>
            <rFont val="Calibri"/>
            <family val="2"/>
            <charset val="238"/>
          </rPr>
          <t>zariadenie stewarda ZSSK a LEO Express
PP PAD
RČ MHD</t>
        </r>
      </text>
    </comment>
    <comment ref="E37" authorId="0" shapeId="0">
      <text>
        <r>
          <rPr>
            <sz val="11"/>
            <color rgb="FF000000"/>
            <rFont val="Calibri"/>
            <family val="2"/>
            <charset val="238"/>
          </rPr>
          <t>PP + OCL 2.1 na stanicu</t>
        </r>
      </text>
    </comment>
    <comment ref="H37" authorId="0" shapeId="0">
      <text>
        <r>
          <rPr>
            <sz val="11"/>
            <color rgb="FF000000"/>
            <rFont val="Calibri"/>
            <family val="2"/>
            <charset val="238"/>
          </rPr>
          <t>PP + VALID + ZSR OCL * 2.1</t>
        </r>
      </text>
    </comment>
  </commentList>
</comments>
</file>

<file path=xl/comments4.xml><?xml version="1.0" encoding="utf-8"?>
<comments xmlns="http://schemas.openxmlformats.org/spreadsheetml/2006/main">
  <authors>
    <author>Mraz, Rene</author>
    <author>tc={46A8E866-57FE-41ED-939C-84C9C9ACE615}</author>
    <author>tc={B11CB7B5-2F56-4701-BD62-1B258E0E211D}</author>
    <author>tc={E961B73B-04CC-44E6-9DA7-B502D6D6F31E}</author>
    <author>tc={2BB238BD-3B38-4938-816F-3484A13CEB10}</author>
    <author>tc={8D1C267A-45D6-4996-9217-FDFE537B2954}</author>
  </authors>
  <commentList>
    <comment ref="G18" authorId="0" shapeId="0">
      <text>
        <r>
          <rPr>
            <b/>
            <sz val="9"/>
            <color indexed="81"/>
            <rFont val="Tahoma"/>
            <family val="2"/>
            <charset val="238"/>
          </rPr>
          <t>Mraz, Rene:</t>
        </r>
        <r>
          <rPr>
            <sz val="9"/>
            <color indexed="81"/>
            <rFont val="Tahoma"/>
            <family val="2"/>
            <charset val="238"/>
          </rPr>
          <t xml:space="preserve">
€2021- € per sec</t>
        </r>
      </text>
    </comment>
    <comment ref="D85"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Za rok 2026 len pol roka</t>
        </r>
      </text>
    </comment>
    <comment ref="D155"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V roku 2026 rátať len polovicu (6 mesiacov)</t>
        </r>
      </text>
    </comment>
    <comment ref="D338" authorId="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V roku 2026 rátať len polovicu (6 mesiacov)</t>
        </r>
      </text>
    </comment>
    <comment ref="D391" authorId="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V roku 2026 rátať len polovicu (6 mesiacov)</t>
        </r>
      </text>
    </comment>
    <comment ref="D444" authorId="5"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V roku 2026 rátať len polovicu (6 mesiacov)</t>
        </r>
      </text>
    </comment>
  </commentList>
</comments>
</file>

<file path=xl/comments5.xml><?xml version="1.0" encoding="utf-8"?>
<comments xmlns="http://schemas.openxmlformats.org/spreadsheetml/2006/main">
  <authors>
    <author>tc={67A960DC-7116-4432-AA5C-7A03D92B197A}</author>
    <author>tc={194BAF19-CBE5-4344-8EBF-9E72F1377468}</author>
  </authors>
  <commentList>
    <comment ref="A2" authorId="0"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Existujúce dáta
Projekcia (modelovanie)
</t>
        </r>
      </text>
    </comment>
    <comment ref="A111" authorId="1"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Existujúce dáta
Projekcia (modelovanie)
</t>
        </r>
      </text>
    </comment>
  </commentList>
</comments>
</file>

<file path=xl/comments6.xml><?xml version="1.0" encoding="utf-8"?>
<comments xmlns="http://schemas.openxmlformats.org/spreadsheetml/2006/main">
  <authors>
    <author>tc={EE8DE9C0-99B4-4887-8406-44ADC253EAD7}</author>
  </authors>
  <commentList>
    <comment ref="W82"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Priemer poklesu za r. 2018 a 2019</t>
        </r>
      </text>
    </comment>
  </commentList>
</comments>
</file>

<file path=xl/comments7.xml><?xml version="1.0" encoding="utf-8"?>
<comments xmlns="http://schemas.openxmlformats.org/spreadsheetml/2006/main">
  <authors>
    <author>tc={1A8190F5-422F-4684-9124-768E04A317EE}</author>
  </authors>
  <commentList>
    <comment ref="R22"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Odhad z údajov do okt. 2023</t>
        </r>
      </text>
    </comment>
  </commentList>
</comments>
</file>

<file path=xl/comments8.xml><?xml version="1.0" encoding="utf-8"?>
<comments xmlns="http://schemas.openxmlformats.org/spreadsheetml/2006/main">
  <authors>
    <author>tc={C10D9572-7F7F-400B-A491-E59591B66F6E}</author>
  </authors>
  <commentList>
    <comment ref="R22"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Odhad z údajov do okt. 2023</t>
        </r>
      </text>
    </comment>
  </commentList>
</comments>
</file>

<file path=xl/comments9.xml><?xml version="1.0" encoding="utf-8"?>
<comments xmlns="http://schemas.openxmlformats.org/spreadsheetml/2006/main">
  <authors>
    <author>tc={E8035ABA-1D7A-4FA9-819C-95B22B675486}</author>
  </authors>
  <commentList>
    <comment ref="K23"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Odhad z údajov do okt. 2023</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<sst xmlns="http://schemas.openxmlformats.org/spreadsheetml/2006/main" count="8999" uniqueCount="1917">
  <si>
    <t>NADA</t>
  </si>
  <si>
    <t>IDS</t>
  </si>
  <si>
    <t>IDS BK</t>
  </si>
  <si>
    <t>HW</t>
  </si>
  <si>
    <t>ZSSK</t>
  </si>
  <si>
    <t>OPEX</t>
  </si>
  <si>
    <t>Komponent</t>
  </si>
  <si>
    <t>CAPEX</t>
  </si>
  <si>
    <t>ICL APP</t>
  </si>
  <si>
    <t>kontrola</t>
  </si>
  <si>
    <t>Energie</t>
  </si>
  <si>
    <t>Prevádzka</t>
  </si>
  <si>
    <t>Typ</t>
  </si>
  <si>
    <t>SR/kraj</t>
  </si>
  <si>
    <t>Ministerstvo dopravy SR</t>
  </si>
  <si>
    <t>štát</t>
  </si>
  <si>
    <t>SR</t>
  </si>
  <si>
    <t>VÚC</t>
  </si>
  <si>
    <t>BSK</t>
  </si>
  <si>
    <t>Trnavský samosprávny kraj</t>
  </si>
  <si>
    <t>TTSK</t>
  </si>
  <si>
    <t>Arriva Trnava</t>
  </si>
  <si>
    <t>Trenčiansky samosprávny kraj</t>
  </si>
  <si>
    <t>TSK</t>
  </si>
  <si>
    <t>SAD Prievidza</t>
  </si>
  <si>
    <t>Žilinský samosprávny kraj</t>
  </si>
  <si>
    <t>ZSK</t>
  </si>
  <si>
    <t>Nitriansky samosprávny kraj</t>
  </si>
  <si>
    <t>NSK</t>
  </si>
  <si>
    <t>Banskobystrický samosprávny kraj</t>
  </si>
  <si>
    <t>BBSK</t>
  </si>
  <si>
    <t>SAD Lučenec</t>
  </si>
  <si>
    <t>SAD Zvolen</t>
  </si>
  <si>
    <t>Prešovský samosprávny kraj</t>
  </si>
  <si>
    <t>PSK</t>
  </si>
  <si>
    <t>SAD Poprad</t>
  </si>
  <si>
    <t>SAD Prešov</t>
  </si>
  <si>
    <t>Košický samosprávny kraj</t>
  </si>
  <si>
    <t>KSK</t>
  </si>
  <si>
    <t>Eurobus</t>
  </si>
  <si>
    <t>Banská Bystrica</t>
  </si>
  <si>
    <t>obec</t>
  </si>
  <si>
    <t>Zvolen</t>
  </si>
  <si>
    <t>Bratislava</t>
  </si>
  <si>
    <t>Košice</t>
  </si>
  <si>
    <t>Nitra</t>
  </si>
  <si>
    <t>TD Transport</t>
  </si>
  <si>
    <t>Prešov</t>
  </si>
  <si>
    <t>Poprad</t>
  </si>
  <si>
    <t>Trenčín</t>
  </si>
  <si>
    <t>Považská Bystrica</t>
  </si>
  <si>
    <t>Dopravný podnik mesta Považská Bystrica</t>
  </si>
  <si>
    <t>Prievidza</t>
  </si>
  <si>
    <t>Trnava</t>
  </si>
  <si>
    <t>Žilina</t>
  </si>
  <si>
    <t>Martin</t>
  </si>
  <si>
    <t>Dopravný podnik mesta Martin</t>
  </si>
  <si>
    <t>Lučenec</t>
  </si>
  <si>
    <t>Spišská Nová Ves</t>
  </si>
  <si>
    <t>Bardejov</t>
  </si>
  <si>
    <t>Ružomberok</t>
  </si>
  <si>
    <t>Blaguss Slovakia</t>
  </si>
  <si>
    <t>User charges</t>
  </si>
  <si>
    <t>Fare - total</t>
  </si>
  <si>
    <t>Operator/ modeling</t>
  </si>
  <si>
    <t>Passengers in PP</t>
  </si>
  <si>
    <t>Number of km in PT a year</t>
  </si>
  <si>
    <t>Number of rides</t>
  </si>
  <si>
    <t>Max number of passengerkilometers in PT a year</t>
  </si>
  <si>
    <t xml:space="preserve">Number of passengerkilometer in personal private transport SK </t>
  </si>
  <si>
    <t>Statista/ modeling</t>
  </si>
  <si>
    <t>Accidents</t>
  </si>
  <si>
    <t>Average costs of accidents - cars</t>
  </si>
  <si>
    <t>CEF - CBA templates</t>
  </si>
  <si>
    <t>€2021-€ per pkm</t>
  </si>
  <si>
    <t>Air pollution</t>
  </si>
  <si>
    <t>Pass car - petrol&amp;diesel</t>
  </si>
  <si>
    <t>Climate change - GHG emissions</t>
  </si>
  <si>
    <t>Pass car - petrol&amp;diesel&amp;EV</t>
  </si>
  <si>
    <t>Noise</t>
  </si>
  <si>
    <t>Value of time</t>
  </si>
  <si>
    <t>Road/rail - commuting/business</t>
  </si>
  <si>
    <t>€2021- € hour</t>
  </si>
  <si>
    <t>Road/rail - personal</t>
  </si>
  <si>
    <t xml:space="preserve">Time saved for passenger ticket purchase / entering bus </t>
  </si>
  <si>
    <t>Operator ?? IDS? Dotazníkový prieskum?</t>
  </si>
  <si>
    <t>time unit</t>
  </si>
  <si>
    <t>Time saved for operator - bus stops (PAD, MHD)</t>
  </si>
  <si>
    <t>Ratios of the whole market for subjects with data</t>
  </si>
  <si>
    <t>Statistical Office - we have totals
We do not have ratios for regions / cities</t>
  </si>
  <si>
    <t>percentage</t>
  </si>
  <si>
    <t>Ostatní (odhadom a pomerovo)</t>
  </si>
  <si>
    <t>Arriva Trnava, SKAND Skalica, SAD Dunajská Streda</t>
  </si>
  <si>
    <t>SAD Trenčín, SAD Prievidza</t>
  </si>
  <si>
    <t>Arriva Liorbus, SAD Žilina</t>
  </si>
  <si>
    <t>Arriva Nitra, Arriva Nové Zámky</t>
  </si>
  <si>
    <t>SAD Lučenec, SAD Zvolen</t>
  </si>
  <si>
    <t>SAD Poprad, SAD Prešov, SAD Humenné, BUS Karpaty</t>
  </si>
  <si>
    <t>Eurobus, Arriva Michalovce</t>
  </si>
  <si>
    <t>SAD Zvolen, DPMBB</t>
  </si>
  <si>
    <t>Dopravný podnik Bratislava, 531, 175, 202</t>
  </si>
  <si>
    <t>Dopravný podnik mesta Košice, 223, 97</t>
  </si>
  <si>
    <t>Dopravný podnik mesta Prešov 66, 39</t>
  </si>
  <si>
    <t>Dopravný podnik mesta Žiliny 41, 44</t>
  </si>
  <si>
    <t xml:space="preserve">User charges - fares </t>
  </si>
  <si>
    <t>User charges - service fees</t>
  </si>
  <si>
    <t>Value of time - passengers</t>
  </si>
  <si>
    <t>Value of time - operators</t>
  </si>
  <si>
    <t xml:space="preserve">index* </t>
  </si>
  <si>
    <t>mil. oskm</t>
  </si>
  <si>
    <t>mestská hromadná doprava</t>
  </si>
  <si>
    <t>cestná doprava (bez MHD)</t>
  </si>
  <si>
    <r>
      <rPr>
        <b/>
        <sz val="9"/>
        <rFont val="Arial"/>
        <family val="2"/>
        <charset val="238"/>
      </rPr>
      <t>Cestná doprava spolu</t>
    </r>
    <r>
      <rPr>
        <sz val="9"/>
        <rFont val="Arial"/>
        <family val="2"/>
        <charset val="238"/>
      </rPr>
      <t xml:space="preserve">
v tom</t>
    </r>
  </si>
  <si>
    <t>Železničná doprava</t>
  </si>
  <si>
    <t>index*</t>
  </si>
  <si>
    <r>
      <t xml:space="preserve">Osobná doprava </t>
    </r>
    <r>
      <rPr>
        <b/>
        <vertAlign val="superscript"/>
        <sz val="9"/>
        <rFont val="Arial"/>
        <family val="2"/>
        <charset val="238"/>
      </rPr>
      <t>2)</t>
    </r>
    <r>
      <rPr>
        <b/>
        <sz val="9"/>
        <rFont val="Arial"/>
        <family val="2"/>
        <charset val="238"/>
      </rPr>
      <t xml:space="preserve"> spolu
</t>
    </r>
    <r>
      <rPr>
        <sz val="9"/>
        <rFont val="Arial"/>
        <family val="2"/>
        <charset val="238"/>
      </rPr>
      <t>v tom</t>
    </r>
  </si>
  <si>
    <t>Merná jednotka</t>
  </si>
  <si>
    <t>Druh dopravy</t>
  </si>
  <si>
    <t>tis. osôb</t>
  </si>
  <si>
    <t>%</t>
  </si>
  <si>
    <t>€</t>
  </si>
  <si>
    <t>https://www.statista.com/statistics/437277/passengers-transported-by-private-car-in-slovakia/</t>
  </si>
  <si>
    <t>p</t>
  </si>
  <si>
    <t>€2021-€ per vkm</t>
  </si>
  <si>
    <t>https://euractiv.sk/section/ovzdusie/news/bloomberg-v-roku-2040-bude-polovica-predavanych-aut-elektrickych/</t>
  </si>
  <si>
    <t>https://www.urbantransportgroup.org/system/files/general-docs/integratedticketingreportFINALOct09.pdf</t>
  </si>
  <si>
    <t>Vývoj cien cestovných lístkov</t>
  </si>
  <si>
    <t>Subjekt</t>
  </si>
  <si>
    <t>Typ lístka</t>
  </si>
  <si>
    <t>Dátum</t>
  </si>
  <si>
    <t>Zvýšenie v %</t>
  </si>
  <si>
    <t>Odhad trendu</t>
  </si>
  <si>
    <t>Zdroj</t>
  </si>
  <si>
    <t>Pôvodná cena</t>
  </si>
  <si>
    <t>Nová cena</t>
  </si>
  <si>
    <t>Základný 30 min</t>
  </si>
  <si>
    <t>Ročný predplatený</t>
  </si>
  <si>
    <t>https://www.trend.sk/spravy/bratislavskom-kraji-zvysuje-cena-cestovnych-listkov-priplatime-aj-pokuty</t>
  </si>
  <si>
    <t>https://spravy.pravda.sk/regiony/clanok/667071-zdrazovanie-autobusovych-listkov-zistovali-sme-kde-stoja-najviac/</t>
  </si>
  <si>
    <t>Základné cestovné hotovosť</t>
  </si>
  <si>
    <t>Základné cestovné karta</t>
  </si>
  <si>
    <t>KSK, PSK - PAD</t>
  </si>
  <si>
    <t>Rozdiel v rokoch</t>
  </si>
  <si>
    <t>N/A</t>
  </si>
  <si>
    <t xml:space="preserve">Predseda Inštitútu verejnej dopravy Marek Modranský: samosprávne kraje pristupujú k zvyšovaniu cestovného po dlhom čase- desať či dvanásť rokov. </t>
  </si>
  <si>
    <t>https://sobotnik.sk/2023/03/bbsk-po-vyse-desiatich-rokoch-upravuje-od-1-aprila-ceny-cestovneho/</t>
  </si>
  <si>
    <t>Cestovné lístky pre pravidelných cestujúcich s dopravnou kartou</t>
  </si>
  <si>
    <t>Column2</t>
  </si>
  <si>
    <t>C/O</t>
  </si>
  <si>
    <t>Zvýšenie p.a.</t>
  </si>
  <si>
    <t>Vplyv ITC na počet cestujúcich</t>
  </si>
  <si>
    <t>Typ zmeny</t>
  </si>
  <si>
    <t>Subjekt / zemepisná oblasť</t>
  </si>
  <si>
    <t>Priemer</t>
  </si>
  <si>
    <t>https://www.sciencedirect.com/science/article/abs/pii/S0967070X98000249?via%3Dihub</t>
  </si>
  <si>
    <t>Vysvetlenie</t>
  </si>
  <si>
    <r>
      <t xml:space="preserve">The German city of Freiburg has experienced an enormous and unprecedented rise in the demand for local public transport since the early 1980s. This study investigates the causes of this </t>
    </r>
    <r>
      <rPr>
        <b/>
        <sz val="9"/>
        <color theme="1"/>
        <rFont val="Calibri"/>
        <family val="2"/>
        <charset val="238"/>
        <scheme val="minor"/>
      </rPr>
      <t>dramatic increase in the popularity of both tram and bus use</t>
    </r>
    <r>
      <rPr>
        <sz val="9"/>
        <color theme="1"/>
        <rFont val="Calibri"/>
        <family val="2"/>
        <scheme val="minor"/>
      </rPr>
      <t xml:space="preserve">. Although traffic restraint measures and improvements in the quality of the public transit service are significant factors, </t>
    </r>
    <r>
      <rPr>
        <b/>
        <sz val="9"/>
        <color theme="1"/>
        <rFont val="Calibri"/>
        <family val="2"/>
        <charset val="238"/>
        <scheme val="minor"/>
      </rPr>
      <t>the main explanation lies in the introduction of low cost `environmental' travel cards with the key characteristics of transferability across friends and family and wide regional validity across operators</t>
    </r>
    <r>
      <rPr>
        <sz val="9"/>
        <color theme="1"/>
        <rFont val="Calibri"/>
        <family val="2"/>
        <scheme val="minor"/>
      </rPr>
      <t>. These season tickets considerably augmented transit demand without seriously exacerbating the operating deficit.</t>
    </r>
  </si>
  <si>
    <t>Dátum 1. merania</t>
  </si>
  <si>
    <t>Dátum 2. merania</t>
  </si>
  <si>
    <t>Pre analýzu vybraný z dôvodu opatrnosti konzervatívny variant - údaj okolo najnižšej hranice zvyšovania</t>
  </si>
  <si>
    <t>Freiburg, Germany</t>
  </si>
  <si>
    <t>Sevilla, Spain</t>
  </si>
  <si>
    <t>Pôvodný počet pasažierov</t>
  </si>
  <si>
    <t>Nový počet pasažierov</t>
  </si>
  <si>
    <t>Zurich, Switzerland</t>
  </si>
  <si>
    <r>
      <t xml:space="preserve">October 1984 witnessed the introduction, initially on a 1-year trial, of the low cost so-called `environmental protection' ticket (Umweltschutzkarte), </t>
    </r>
    <r>
      <rPr>
        <b/>
        <sz val="9"/>
        <color theme="1"/>
        <rFont val="Calibri"/>
        <family val="2"/>
        <charset val="238"/>
        <scheme val="minor"/>
      </rPr>
      <t xml:space="preserve">a monthly travel card valid for the whole tariff network </t>
    </r>
    <r>
      <rPr>
        <sz val="9"/>
        <color theme="1"/>
        <rFont val="Calibri"/>
        <family val="2"/>
        <scheme val="minor"/>
      </rPr>
      <t>and DM13 cheaper than the former comparable travel pass and now freely transferable across friends and family members</t>
    </r>
  </si>
  <si>
    <r>
      <t xml:space="preserve">Introducing Fare integration to improve public transport use was introdused in 2002. This meant that </t>
    </r>
    <r>
      <rPr>
        <b/>
        <sz val="9"/>
        <color theme="1"/>
        <rFont val="Calibri"/>
        <family val="2"/>
        <charset val="238"/>
        <scheme val="minor"/>
      </rPr>
      <t>one ticket</t>
    </r>
    <r>
      <rPr>
        <sz val="9"/>
        <color theme="1"/>
        <rFont val="Calibri"/>
        <family val="2"/>
        <scheme val="minor"/>
      </rPr>
      <t xml:space="preserve"> would now be </t>
    </r>
    <r>
      <rPr>
        <b/>
        <sz val="9"/>
        <color theme="1"/>
        <rFont val="Calibri"/>
        <family val="2"/>
        <charset val="238"/>
        <scheme val="minor"/>
      </rPr>
      <t xml:space="preserve">valid in all regional and city buses. </t>
    </r>
    <r>
      <rPr>
        <sz val="9"/>
        <color theme="1"/>
        <rFont val="Calibri"/>
        <family val="2"/>
        <scheme val="minor"/>
      </rPr>
      <t xml:space="preserve">
</t>
    </r>
  </si>
  <si>
    <t>Prior to the fare integration introduction, regional bus patronage was decreasing. 
The implementation of the fare integration policies resulted in: 
 Patronage increasing slightly by 3% from 2002 to 2005 (i.e. 12.8 million to 13.2 million); and 
 Moreover; the number of journeys conducted involving a transfer was reported as growing on a yearly basis by 2.9%. It should be noted that since individual bus company tickets are cheaper than 
integrated tickets in Sevilla, the majority of travellers still use those tickets.</t>
  </si>
  <si>
    <r>
      <t xml:space="preserve">A comprehensive </t>
    </r>
    <r>
      <rPr>
        <b/>
        <sz val="9"/>
        <color theme="1"/>
        <rFont val="Calibri"/>
        <family val="2"/>
        <charset val="238"/>
        <scheme val="minor"/>
      </rPr>
      <t>integrated fare and ticketing system</t>
    </r>
    <r>
      <rPr>
        <sz val="9"/>
        <color theme="1"/>
        <rFont val="Calibri"/>
        <family val="2"/>
        <scheme val="minor"/>
      </rPr>
      <t xml:space="preserve"> was introduced. This involved the full </t>
    </r>
    <r>
      <rPr>
        <b/>
        <sz val="9"/>
        <color theme="1"/>
        <rFont val="Calibri"/>
        <family val="2"/>
        <charset val="238"/>
        <scheme val="minor"/>
      </rPr>
      <t>coordination of services and the development of a single fare system</t>
    </r>
    <r>
      <rPr>
        <sz val="9"/>
        <color theme="1"/>
        <rFont val="Calibri"/>
        <family val="2"/>
        <scheme val="minor"/>
      </rPr>
      <t xml:space="preserve"> based on zonal fares.</t>
    </r>
  </si>
  <si>
    <t xml:space="preserve"> Impact on patronage: 
 Overall patronage increased by an average of 12% in the first 2 years of operation. 
This overall increase in patronage was separated for feeder buses and heavy rail and details that: 
 Ridership on bus increased by 53% and on heavy rail which increased by 30%</t>
  </si>
  <si>
    <t>Dresden, Germany</t>
  </si>
  <si>
    <t>Fully integrated public transport system which utilises a smart card ticketing medium and spans all public transport including rail, trams, bus, ferries, cable car and a mountain lift</t>
  </si>
  <si>
    <t>All public transport including rail, trams, bus, ferries, cable car and a mountain lift. The simplified fare system consists of a zonal fare structure with three ticket types (i.e. single trips, day cards and 
subscriptions). The impact of fares integration from 1998 to 2008 has been resulted in: 
 Regular clients who use monthly or yearly tickets increasing by 11%</t>
  </si>
  <si>
    <t>https://www.transport.gov.scot/publication/smart-integrated-ticketing-report-for-scotland/</t>
  </si>
  <si>
    <t>World</t>
  </si>
  <si>
    <t>Substantial increases in patronage, in the range of 6% to 20%, with some transport modes experiencing increases to the order of 40%;</t>
  </si>
  <si>
    <t>6-20%
40% for some transport modes</t>
  </si>
  <si>
    <t>Paris, France</t>
  </si>
  <si>
    <t>https://www.itf-oecd.org/node/25118</t>
  </si>
  <si>
    <t>Manchester, UK</t>
  </si>
  <si>
    <t>The introduction of integrated ticketing systems</t>
  </si>
  <si>
    <t>The introduction of integrated ticketing systems in a set of European cities accompanied an increase in public transport demand of between 4% over two years in Manchester, United Kingdom, and 33% over 18 years in Paris. It remains difficult to isolate the sole impact of integrated ticketing on the increased public transport demand, however.</t>
  </si>
  <si>
    <t>ICL</t>
  </si>
  <si>
    <t>Vplyv ITC na rýchlosť vybavovania</t>
  </si>
  <si>
    <t>Zmena v %</t>
  </si>
  <si>
    <t>London, UK</t>
  </si>
  <si>
    <t>Maryland, USA</t>
  </si>
  <si>
    <t>simplified bus fares accelerated by the ‘pre-pay’ version of the Oyster smartcard, 
enabling occasional users to travel at markedly lower prices than full cash fares</t>
  </si>
  <si>
    <t>5 to 8</t>
  </si>
  <si>
    <r>
      <t xml:space="preserve">In addition to the revenue benefits and improved passenger satisfaction with public transport services from the fares simplification initiative introduced in 1996, there is evidence to support faster boarding times. The eliminated zones and transfers as 
well as implementing a multi-modal day pass resulted in: 
 </t>
    </r>
    <r>
      <rPr>
        <b/>
        <sz val="9"/>
        <color theme="1"/>
        <rFont val="Calibri"/>
        <family val="2"/>
        <charset val="238"/>
        <scheme val="minor"/>
      </rPr>
      <t>Faster boarding times in afternoon and evening peaks</t>
    </r>
    <r>
      <rPr>
        <sz val="9"/>
        <color theme="1"/>
        <rFont val="Calibri"/>
        <family val="2"/>
        <scheme val="minor"/>
      </rPr>
      <t>.</t>
    </r>
  </si>
  <si>
    <t>3 to 6</t>
  </si>
  <si>
    <t>150%  to 300%</t>
  </si>
  <si>
    <t>Priemerné skrátenie v sec.</t>
  </si>
  <si>
    <t>Referenčná rýchlosť (sec per passenger)</t>
  </si>
  <si>
    <t>Cieľová rýchlosť (sec per passenger)</t>
  </si>
  <si>
    <t>Karta</t>
  </si>
  <si>
    <t>Položka</t>
  </si>
  <si>
    <t>ICL Web</t>
  </si>
  <si>
    <t>SW - licencie</t>
  </si>
  <si>
    <t>SW - rozvoj</t>
  </si>
  <si>
    <t>ICL Web B</t>
  </si>
  <si>
    <t>ICL Web C</t>
  </si>
  <si>
    <r>
      <t xml:space="preserve">Boarding times per passenger in 2004 were about
 </t>
    </r>
    <r>
      <rPr>
        <b/>
        <sz val="9"/>
        <color theme="1"/>
        <rFont val="Calibri"/>
        <family val="2"/>
        <charset val="238"/>
        <scheme val="minor"/>
      </rPr>
      <t>2 seconds on suburban routes</t>
    </r>
    <r>
      <rPr>
        <sz val="9"/>
        <color theme="1"/>
        <rFont val="Calibri"/>
        <family val="2"/>
        <scheme val="minor"/>
      </rPr>
      <t xml:space="preserve"> and under 1 second on the articulated routes (with parallel boarding through all three doorways). In other parts of Britain where a substantial proportion of cash fares is still found: 
 Average boarding times are in the order of 5-8 seconds.</t>
    </r>
  </si>
  <si>
    <t>Spolu</t>
  </si>
  <si>
    <t>ICL App A</t>
  </si>
  <si>
    <t>Backoffice</t>
  </si>
  <si>
    <t>Integrácie</t>
  </si>
  <si>
    <t>Dopravcovia</t>
  </si>
  <si>
    <t>Zariadenia</t>
  </si>
  <si>
    <t>Podporné aktivity</t>
  </si>
  <si>
    <t>Projektové riadenie interné</t>
  </si>
  <si>
    <t>Projektové riadenie externé</t>
  </si>
  <si>
    <t>Column3</t>
  </si>
  <si>
    <t>Column4</t>
  </si>
  <si>
    <t>Dodávateľ</t>
  </si>
  <si>
    <t>Column5</t>
  </si>
  <si>
    <t>Počet vozidiel (priemer 2017-2023)</t>
  </si>
  <si>
    <t>Aktualizácia 20/12/2023</t>
  </si>
  <si>
    <t>Column6</t>
  </si>
  <si>
    <t>Column7</t>
  </si>
  <si>
    <t>Column8</t>
  </si>
  <si>
    <t>GPS modul vo vozidle</t>
  </si>
  <si>
    <t>GPS centrálny monitoring</t>
  </si>
  <si>
    <t>Wifi router vo vozidle</t>
  </si>
  <si>
    <t>Wifi centrálny monitoring2</t>
  </si>
  <si>
    <t>BT vo vozidle2</t>
  </si>
  <si>
    <t>BT centrálny monitoring</t>
  </si>
  <si>
    <t>NFC čítačka kariet</t>
  </si>
  <si>
    <t>NFC centrálny monitoring2</t>
  </si>
  <si>
    <t>Kamery</t>
  </si>
  <si>
    <t>QR čítačka</t>
  </si>
  <si>
    <t>Tlačiareň</t>
  </si>
  <si>
    <t>Multifunkčné jednotky</t>
  </si>
  <si>
    <t>Ďalšie</t>
  </si>
  <si>
    <t>Smartboxy, označovače</t>
  </si>
  <si>
    <t>Počet čítačiek revízorov</t>
  </si>
  <si>
    <t>Životnosť čítačiek- priemer</t>
  </si>
  <si>
    <t>Bratislavský samosprávny kraj &amp; BA</t>
  </si>
  <si>
    <t>VÚC, obec</t>
  </si>
  <si>
    <t>DPB, Slovak Lines / ARRIVA (225)</t>
  </si>
  <si>
    <t>Internet pre cestujúcich, cca. 0,6/vozidlo, vlastníctvo, Orange</t>
  </si>
  <si>
    <t>súčasť el. pokladne</t>
  </si>
  <si>
    <t>poloha vozidiel do dispečingu, 335, obstarané samostatne, súčasť výbavy vozidla</t>
  </si>
  <si>
    <t>195, obstarané samostatne, súčasť výbavy vozidla</t>
  </si>
  <si>
    <t>9, obstarané samostatne, súčasť výbavy vozidla</t>
  </si>
  <si>
    <t>platba kartou vo vozidlách, 123, súčasťou TIS (dopravcovi bol TIS preplácaný v rámci EON),súčasť výbavy vozidla</t>
  </si>
  <si>
    <t>tlač cestovného lístka, 335, obstaráné spoločne s TIS,  súčasť výbavy vozidla</t>
  </si>
  <si>
    <t>2G - predaj cest. lístkov (vek 15 rokov), 1ks/vozidlo, samostatne, vlastníctvo, dodávateľ Transdata</t>
  </si>
  <si>
    <t>4G el. pokladňa - Vesna, predaj cest. Lístkov, 1ks/vozidlo,  samostatne, vlastníctvo, dodávateľ Transdata</t>
  </si>
  <si>
    <t>GPS pripojená k elektr. pokladni, 1ks/vozidlo, samostatne, vlastníctvo, dodávateľ Transdata</t>
  </si>
  <si>
    <t>Internet pre cestujúcich, 1ks/vozidlo, samostatne, vlastníctvo, Orange</t>
  </si>
  <si>
    <t>Štandady</t>
  </si>
  <si>
    <t>EN 50121-3-2, EN 50124-1, EN 50155, EN 50325-4, EN 61373, IEC 61375, UIC 612</t>
  </si>
  <si>
    <t>PODROBNE V SAMOSTATNOM SÚBORE</t>
  </si>
  <si>
    <t>V SAD Trenčín používali 4 revízorské čítačky, ich životnosť je 5-6 rokov. Nemáme údaj za jednotlivé roky</t>
  </si>
  <si>
    <t>13-15 rokov - palubné počítače, PD 14 rokov, vek el.pokladní Mijola vo vozidlách, v súčasnosti po životnosti</t>
  </si>
  <si>
    <t>Cloud</t>
  </si>
  <si>
    <t>ICL App B, C</t>
  </si>
  <si>
    <t>Software ssurance</t>
  </si>
  <si>
    <t>Hardware maintenance</t>
  </si>
  <si>
    <t>MJ</t>
  </si>
  <si>
    <t>Počet</t>
  </si>
  <si>
    <t>ks</t>
  </si>
  <si>
    <t>Prenájom</t>
  </si>
  <si>
    <t>MHD</t>
  </si>
  <si>
    <t>PAD</t>
  </si>
  <si>
    <t>Počet cestujúcich</t>
  </si>
  <si>
    <t>Počet jázd</t>
  </si>
  <si>
    <t>Počet najazdených km</t>
  </si>
  <si>
    <t>Počet osobokilometrov</t>
  </si>
  <si>
    <t>Tržby</t>
  </si>
  <si>
    <t>Osobná automobilová doprava</t>
  </si>
  <si>
    <t>Vlaky</t>
  </si>
  <si>
    <t>BA</t>
  </si>
  <si>
    <t>Cena kombinovaného mesačného lístka na všetky druhy VOD v centre v okruhu 5-10km</t>
  </si>
  <si>
    <t>Posledné merané zvýšenie</t>
  </si>
  <si>
    <t>https://datacube.statistics.sk/#!/view/en/vbd_urbanaudit/do3701rr/v_do3701rr_00_00_00_sk</t>
  </si>
  <si>
    <t>KE</t>
  </si>
  <si>
    <t>PO</t>
  </si>
  <si>
    <t>CUBE vbd_sk_win2:do3801rr</t>
  </si>
  <si>
    <t>Vybrané ukazovatele cestnej verejnej dopravy</t>
  </si>
  <si>
    <t>do3801rr_data</t>
  </si>
  <si>
    <t>https://datacube.statistics.sk/#!/view/sk/vbd_sk_win2/do3801rr/v_do3801rr_00_00_00_sk</t>
  </si>
  <si>
    <t>Prepravené osoby (tis. osôb)</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</si>
  <si>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</si>
  <si>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</si>
  <si>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</si>
  <si>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</si>
  <si>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</si>
  <si>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</si>
  <si>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</si>
  <si>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</si>
  <si>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</si>
  <si>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</si>
  <si>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</si>
  <si>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</si>
  <si>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</si>
  <si>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</si>
  <si>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</si>
  <si>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</si>
  <si>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</si>
  <si>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</si>
  <si>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</si>
  <si>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</si>
  <si>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</si>
  <si>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</si>
  <si>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</si>
  <si>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</si>
  <si>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</si>
  <si>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</si>
  <si>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Bratislavský kraj</t>
  </si>
  <si>
    <t>Trnavský kraj</t>
  </si>
  <si>
    <t>Trenčiansky kraj</t>
  </si>
  <si>
    <t>Nitriansky kraj</t>
  </si>
  <si>
    <t>Žilinský kraj</t>
  </si>
  <si>
    <t>Banskobystrický kraj</t>
  </si>
  <si>
    <t>Prešovský kraj</t>
  </si>
  <si>
    <t>Košický kraj</t>
  </si>
  <si>
    <t xml:space="preserve">Prepravené osoby </t>
  </si>
  <si>
    <t>Prepravené osoby (rozdiel oproti predošlému roku)</t>
  </si>
  <si>
    <t>Prepravené osoby (rozdiel oproti predošlému roku, %)</t>
  </si>
  <si>
    <t>Výkony v osobokilometroch (mil. oskm), kraje</t>
  </si>
  <si>
    <t>Výkony v osobokilometroch, kraje</t>
  </si>
  <si>
    <t>Výkony (rozdiel oproti predošlému roku), kraje</t>
  </si>
  <si>
    <t>Výkony (rozdiel oproti predošlému roku, %), kraje</t>
  </si>
  <si>
    <t>CUBE</t>
  </si>
  <si>
    <t>Súhrnné ukazovatele za dopravu [do1003rs] - DATAcube. (statistics.sk)</t>
  </si>
  <si>
    <t>do1003rs_data</t>
  </si>
  <si>
    <t>Preprava osôb SR (bez osobných automobilov, tis. osôb)</t>
  </si>
  <si>
    <t>v tom: železničná doprava</t>
  </si>
  <si>
    <t>cestná verejná doprava</t>
  </si>
  <si>
    <t>Preprava osôb (bez osobných automobilov), SR</t>
  </si>
  <si>
    <t>Preprava osôb SR (rozdiel oproti predošlému roku), SR</t>
  </si>
  <si>
    <t>Preprava osôb (rozdiel oproti predošlému roku, %), SR</t>
  </si>
  <si>
    <t>https://datacube.statistics.sk/#!/view/sk/VBD_SK_WIN/do1003rs/v_do1003rs_00_00_00_sk</t>
  </si>
  <si>
    <t>Výkony v osobokilometroch (mil. oskm), SR</t>
  </si>
  <si>
    <t>Výkony v osobokilometroch, SR</t>
  </si>
  <si>
    <t>Výkony (rozdiel oproti predošlému roku), SR</t>
  </si>
  <si>
    <t>Výkony (rozdiel oproti predošlému roku, %), SR</t>
  </si>
  <si>
    <t>pravidelná 
a nepravidelná (príležitostná) cestná osobná doprava - prímestská a diaľková - bez MHD</t>
  </si>
  <si>
    <t>2023</t>
  </si>
  <si>
    <t>2024</t>
  </si>
  <si>
    <t>2025</t>
  </si>
  <si>
    <t>2026</t>
  </si>
  <si>
    <t>2027</t>
  </si>
  <si>
    <t>2028</t>
  </si>
  <si>
    <t>2029</t>
  </si>
  <si>
    <t>2030</t>
  </si>
  <si>
    <t>2031</t>
  </si>
  <si>
    <t>2032</t>
  </si>
  <si>
    <t>2033</t>
  </si>
  <si>
    <t>Priemer za posl. 10 rokov</t>
  </si>
  <si>
    <t>Priemer za posl. 10 rokov pred 2020-2022</t>
  </si>
  <si>
    <t>Pozn.</t>
  </si>
  <si>
    <t>Od tabuľky č. 5 - tabuľky s údajmi dodanými objednávateľmi iba pre pravidelnú PAD, plus domodelovanými údajmi na základe trendov zo ŠÚ</t>
  </si>
  <si>
    <t xml:space="preserve">Priemer </t>
  </si>
  <si>
    <t>Priemer (pred COVIDom)</t>
  </si>
  <si>
    <t>Reálne dáta &amp; modely</t>
  </si>
  <si>
    <t>Integrácia na ICL</t>
  </si>
  <si>
    <t>Dopravca</t>
  </si>
  <si>
    <t>Validácia</t>
  </si>
  <si>
    <t>Tržby, kraje</t>
  </si>
  <si>
    <t>Tržby (rozdiel oproti predošlému roku), kraje</t>
  </si>
  <si>
    <t>Tržby (rozdiel oproti predošlému roku, %), kraje</t>
  </si>
  <si>
    <t>Najazdené km PAD, kraje</t>
  </si>
  <si>
    <t>Najazdené km PAD (rozdiel oproti predošlému roku), kraje</t>
  </si>
  <si>
    <t>Najazdené km PAD (rozdiel oproti predošlému roku, %), kraje</t>
  </si>
  <si>
    <t>pravidelná a nepravidelná (príležitostná) cestná osobná doprava - prímestská a diaľková - bez MHD</t>
  </si>
  <si>
    <t>Vstupné údaje pre výpočet nákladov</t>
  </si>
  <si>
    <t>Interné personálne náklady</t>
  </si>
  <si>
    <t>Pozícia</t>
  </si>
  <si>
    <t>Aktivita</t>
  </si>
  <si>
    <t>% v projekte</t>
  </si>
  <si>
    <t>Hlavná</t>
  </si>
  <si>
    <t>Kľúčový používateľ</t>
  </si>
  <si>
    <t>IT Analytik</t>
  </si>
  <si>
    <t>Vlastník procesov</t>
  </si>
  <si>
    <t>Projektový manažér</t>
  </si>
  <si>
    <t>Podporná</t>
  </si>
  <si>
    <t>Tester</t>
  </si>
  <si>
    <t>Manažér kvality</t>
  </si>
  <si>
    <t>Finančný manažér</t>
  </si>
  <si>
    <t>Administratívny pracovník</t>
  </si>
  <si>
    <t>Biznis analytik</t>
  </si>
  <si>
    <t>Manažér kybernetickej a informačnej bezpečnosti</t>
  </si>
  <si>
    <t>Špecialista na publicitu</t>
  </si>
  <si>
    <t>Koeficienty</t>
  </si>
  <si>
    <t>Percento odvodov zamestnávateľa</t>
  </si>
  <si>
    <t>Odmeny</t>
  </si>
  <si>
    <t>Hod. sadzba (hrubá)</t>
  </si>
  <si>
    <t>Hod. sadzba (superhrubá)</t>
  </si>
  <si>
    <t>Max. hod. sadzba (hrubá)</t>
  </si>
  <si>
    <t>Service desk admin -L1</t>
  </si>
  <si>
    <t>Service desk admin -L2</t>
  </si>
  <si>
    <t>Fond prac. času ročne 7,5</t>
  </si>
  <si>
    <t>vrátane sviatkov</t>
  </si>
  <si>
    <t>Technický personál - siete</t>
  </si>
  <si>
    <t>Technický personál - cloud</t>
  </si>
  <si>
    <t>Technický personál - XXX</t>
  </si>
  <si>
    <t>Odvody zamestnávateľa</t>
  </si>
  <si>
    <t>Projektová podpora</t>
  </si>
  <si>
    <t>Náklady na pozíciu ročne</t>
  </si>
  <si>
    <t>Technický personál a podpora</t>
  </si>
  <si>
    <t>Implementačný tím</t>
  </si>
  <si>
    <t>Interný implementačný tím</t>
  </si>
  <si>
    <t>Manažér publicity</t>
  </si>
  <si>
    <t>Projektové riadenie a publicita</t>
  </si>
  <si>
    <t>Mediálna kampaň</t>
  </si>
  <si>
    <t>Publicita EŠIF</t>
  </si>
  <si>
    <t>Počet hodín ročne</t>
  </si>
  <si>
    <t>Interná</t>
  </si>
  <si>
    <t>Projektové riadenie - externé</t>
  </si>
  <si>
    <t>Hod. sadzba</t>
  </si>
  <si>
    <t>Celkové náklady na projekt do roku 2037</t>
  </si>
  <si>
    <t>Vecní experti</t>
  </si>
  <si>
    <t>Experti v oblasti dopravy, IT...</t>
  </si>
  <si>
    <t>Zvýšené tržby</t>
  </si>
  <si>
    <t>Znížená nehodovosť</t>
  </si>
  <si>
    <t xml:space="preserve">Znížené znečistenie ovzdušia </t>
  </si>
  <si>
    <t>Znížená hlučnosť</t>
  </si>
  <si>
    <t xml:space="preserve">Zníženie objemu skleníkových plynov </t>
  </si>
  <si>
    <t>Pozície</t>
  </si>
  <si>
    <t>FTE po rokoch</t>
  </si>
  <si>
    <t>Celkové benefity projektu do roku 2037</t>
  </si>
  <si>
    <t>Súhrn vstupov rozdelených na druhy dopravy pre celkové benefity projektu do roku 2037</t>
  </si>
  <si>
    <t>Celkový počet prepravených osôb v SR za druhy dopravy do r. 2022</t>
  </si>
  <si>
    <t xml:space="preserve">Celkové dopravné výkony v SR za druhy dopravy do r. 2022 </t>
  </si>
  <si>
    <t>Počet prepravených osôb v krajoch za cestnú verejnú dopravu a prímestskú autobusovú dopravu do r. 2022 a modelovanie do r. 2037</t>
  </si>
  <si>
    <t>Dopravné výkony v krajoch za cestnú verejnú dopravu do r. 2022</t>
  </si>
  <si>
    <t>Dopravné výkony v krajoch za prímestskú autobusovú dopravu do r. 2022 a modelovanie do r. 2037</t>
  </si>
  <si>
    <t>Tržby v krajoch za prímestskú autobusovú dopravu do r. 2022 a modelovanie do r. 2037</t>
  </si>
  <si>
    <t>Príklady vplyvov integrovanej dopravy na počty cestujúcich vo svete</t>
  </si>
  <si>
    <t>Príklady vplyvov integrovanej dopravy na rýchlosť vybavovania cestujúcich vo svete</t>
  </si>
  <si>
    <t>Príklady vývoja cien cestovných lístkov na Slovensku</t>
  </si>
  <si>
    <t>Počet hodín celkovo</t>
  </si>
  <si>
    <t>hod</t>
  </si>
  <si>
    <t>cena</t>
  </si>
  <si>
    <t>Počet pozícií</t>
  </si>
  <si>
    <t>Ostatné</t>
  </si>
  <si>
    <t>Počet jázd PAD, kraje</t>
  </si>
  <si>
    <t>Počet jázd  PAD (rozdiel oproti predošlému roku), kraje</t>
  </si>
  <si>
    <t>Počet jázd PAD (rozdiel oproti predošlému roku, %), kraje</t>
  </si>
  <si>
    <t>Výkony MHD</t>
  </si>
  <si>
    <t>Výkony MHD (rozdiel oproti predošlému roku)</t>
  </si>
  <si>
    <t>Výkony MHD (rozdiel oproti predošlému roku, %)</t>
  </si>
  <si>
    <t>Najazdené km (rozdiel oproti predošlému roku)</t>
  </si>
  <si>
    <t>Najazdené km (rozdiel oproti predošlému roku, %)</t>
  </si>
  <si>
    <t>Počet jázd MHD</t>
  </si>
  <si>
    <t>Počet jázd MHD (rozdiel oproti predošlému roku)</t>
  </si>
  <si>
    <t>Počet jázd MHD (rozdiel oproti predošlému roku, %)</t>
  </si>
  <si>
    <t>Najazdené km MHD</t>
  </si>
  <si>
    <t>Tržby MHD</t>
  </si>
  <si>
    <t>Tržby (rozdiel oproti predošlému roku)</t>
  </si>
  <si>
    <t>Tržby (rozdiel oproti predošlému roku, %)</t>
  </si>
  <si>
    <t>Počet prepravených osôb v MHD do r. 2022 a modelovanie do r. 2037</t>
  </si>
  <si>
    <t>Prímestská autobusová doprava v krajoch v km do r. 2022 a modelovanie do r. 2037</t>
  </si>
  <si>
    <t>Dopravné výkony v prímestskej autobusovej doprave v krajoch do r. 2022 a modelovanie do r. 2037</t>
  </si>
  <si>
    <t>Column1</t>
  </si>
  <si>
    <t xml:space="preserve">SAD Prievidza </t>
  </si>
  <si>
    <t>odbavovací systém</t>
  </si>
  <si>
    <t>modul vo vozidle</t>
  </si>
  <si>
    <t>modul vo vozidle, sledovanie polohy vozidiel a jazdných vlastností vozdiel, 1ks, obstarané samostatne, vlastníctvo, QADRA PLUS, s.r.o.</t>
  </si>
  <si>
    <t>odbavovací systém, automatický posun nástupnej zastávky pre vodiča, vyhodnocovanie časovej polohy spoja, 1ks, obstarané samostatne, vlastníctvo, TransData, a.s.</t>
  </si>
  <si>
    <t>router vo vozidle, poskytovanie bezplatného internetu cestujúcim, 1ks, obstarané samostatne, služba, See &amp; Go, s.r.o.</t>
  </si>
  <si>
    <t>odbavovací systém, online prenos údajov na server z a do vozidla - cestovné lístky, eshop, poloha a pod., 1ks, obstarané samostatne, vlastníctvo, TransData, a.s./ORANGE, wifi - WIFI, online prístup na internet pre cestujúcich, 1ks, obstarané samostatne, služba, See &amp; Go, s.r.o.</t>
  </si>
  <si>
    <t>čítačka kariet, predaj cestovných lískov, 2ks, obstarané samostatne, vlastníctvo, TransData, a.s.</t>
  </si>
  <si>
    <t>nevyužívané, 2ks, obstarané samostatne, vlastníctvo, TransData, a.s.</t>
  </si>
  <si>
    <t>bezpečnosť vo vozidle, 4/5ks, integrované výrobcom, IVECO/SOR</t>
  </si>
  <si>
    <t>tlač cestovných lístkov, 1ks, obstarané samostatne, vlastníctvo, TransData, a.s.</t>
  </si>
  <si>
    <t>prenos dát, 1ks, obstarané samostatne, súčasť výbavy, cena 12, Transdata</t>
  </si>
  <si>
    <t>prepínanie zastávok, 1ks, obstarané samostatne + dodané výrobcom, súčasť výbavy, Transdata</t>
  </si>
  <si>
    <t>sledovanie polohy</t>
  </si>
  <si>
    <t>1ks, obstarané samostatne + dodané výrobcom, súčasť výbavy, 600, Mobilboard</t>
  </si>
  <si>
    <t>platba ČK, BK, 1ks, platba ČK, BK, súčasť výbavy, 1700, Trandata</t>
  </si>
  <si>
    <t>príprava na nové technológie, 1ks, obstarané samostatne, súčasť výbavy, Transdata</t>
  </si>
  <si>
    <t>tlač cest.lístkov, 1ks, obstarané samostatne, súčasť výbavy, 900, Transdata</t>
  </si>
  <si>
    <t>smerové tabule, zastávky a smer cesty, 2,3 ks, Bustec + Buse; int. LCD, zastávky + informácie, 1ks, obstarané samostatne + dodané výrobcom, súčasť výbavy, Bustec</t>
  </si>
  <si>
    <t>Prevodová tabuľka medzi V0 a V1-3 s koeficientami</t>
  </si>
  <si>
    <t>POO</t>
  </si>
  <si>
    <t>Výnosy</t>
  </si>
  <si>
    <t>N_02 Vstupy</t>
  </si>
  <si>
    <t>Časy vybavenia</t>
  </si>
  <si>
    <t>Formy nákupu lístka</t>
  </si>
  <si>
    <t>zvyšovanie</t>
  </si>
  <si>
    <t xml:space="preserve">fares simplification initiative and  implementing a multi-modal day pass </t>
  </si>
  <si>
    <t>SIM v palubnom počítači, Centrálny monitoring, 1ks, obstarané samostatne,  prenájom/služba, TransData</t>
  </si>
  <si>
    <t>GPS, SAM modul, LCD dotyková obrazovka, Palubný počítač (PP), Odbavovací systém pre cestujúcich, 1ks, obstarané samostatne, vlastníctvo, TransData</t>
  </si>
  <si>
    <t>router vo vozidle, Wifi pre cestujúcich, 1ks, obstarané samostatne, vlastníctvo, TransData</t>
  </si>
  <si>
    <t>Tabuľa LCD, LCD vnútorný panel, Infomácie o CP pre cestujúcich, 1ks, obstarané samostatne, vlastníctvo, Bustec; Tabuľa LED, Informačná tabuľa zadná, bočná, predná, Infomácie pre cestujúcich, 3ks,obstarané samostatne, vlastníctvo, Bustec</t>
  </si>
  <si>
    <t>Tlačiareň k PP, Tlač cestovných lístkov, 1ks, obstarané samostatne,vlastníctvo,  TransData; Podstava tlačiarne, SWITCH a napájanie, Prepojenie tlačiarne s PP, 1ks, obstarané samostatne,  vlastníctvo, TransData</t>
  </si>
  <si>
    <t>Čítačka kariet v tlačiarni, Čítačka čipových a bankových kariet, 1ks, súčasť tlačiarne, vlastníctvo</t>
  </si>
  <si>
    <t>Čítačka QR kódov v tlačiarni, Čítačka QR kódov z prestupných a storno lístkov, 1ks, súčasť tlačiarne, vlastníctvo</t>
  </si>
  <si>
    <t xml:space="preserve">Kamera a PP, Monitoring vozidla, 1ks, obstarané samostatne, vlastníctvo, </t>
  </si>
  <si>
    <t>Tabuľka s pomermi prepravených osôb v CVD a PAD na namodelovanie počtov pre PAD u krajov, ktoré nedodali žiadne alebo dodali nepoužiteľné údaje</t>
  </si>
  <si>
    <t>CVD</t>
  </si>
  <si>
    <t>B_01 Benefity súhrn</t>
  </si>
  <si>
    <t>B_03 Súhrn-vstupy a projekcie</t>
  </si>
  <si>
    <t>Mapa benefitov</t>
  </si>
  <si>
    <t>DATA for benefits</t>
  </si>
  <si>
    <t>Data for benefits Pilot</t>
  </si>
  <si>
    <t>DM_01_SR počet preprav. Osôb</t>
  </si>
  <si>
    <t>Hrubá mzda mesačne</t>
  </si>
  <si>
    <t>DM_02_SR výkony</t>
  </si>
  <si>
    <t>DM_03_Kraje počet cest. CVD,PAD</t>
  </si>
  <si>
    <t>DM_04_Kraje výkony CVD,PAD</t>
  </si>
  <si>
    <t xml:space="preserve">DM_06_Kraje km PAD </t>
  </si>
  <si>
    <t>DM_05_Kraje jazdy PAD</t>
  </si>
  <si>
    <t>DM_08_Kraje tržby PAD</t>
  </si>
  <si>
    <t>DM_09_MHD počet cest.</t>
  </si>
  <si>
    <t xml:space="preserve">4G - GSM modul, prenos dát z vozidla/do vozidla, 1ks, kombinovane, vlastníctvo, </t>
  </si>
  <si>
    <t>DM_10_MHD výkony</t>
  </si>
  <si>
    <t>DM_11_MHD jazdy</t>
  </si>
  <si>
    <t xml:space="preserve">poloha vozidla na mape, 1ks, kombinovane, vlastníctvo, </t>
  </si>
  <si>
    <t>DM_12_MHD km</t>
  </si>
  <si>
    <t>DM_13_MHD tržby</t>
  </si>
  <si>
    <t xml:space="preserve">DM_14_Vplyv ITC na počet cest. </t>
  </si>
  <si>
    <t>DM_15_Vplyv na rýchlosť vybav.</t>
  </si>
  <si>
    <t xml:space="preserve">prenos dát z vozidla na server vo vozovni, 1ks, kombinovane, vlastníctvo, </t>
  </si>
  <si>
    <t>Dáta technológie</t>
  </si>
  <si>
    <t>Data SU</t>
  </si>
  <si>
    <t>Objednávatelia</t>
  </si>
  <si>
    <t>platba platobnou kartou, resp. zariadením s NFC technológiou, 2x v sólo 3x v kĺbovom, obstarané samostatne,  vlastníctvo</t>
  </si>
  <si>
    <t>6x v sólo, 8x kĺbovom, kombinovane, vlastníctvo</t>
  </si>
  <si>
    <t>Popis karty</t>
  </si>
  <si>
    <t>Vstupné údaje pre výpočet benefitov podľa variantov</t>
  </si>
  <si>
    <t xml:space="preserve">Koeficient </t>
  </si>
  <si>
    <t>Hodnota</t>
  </si>
  <si>
    <t>Náklady znečistenia ovzdušia (mimo CO2) na osobokilometer pre SR</t>
  </si>
  <si>
    <t>Náklady nadmernej hlučnosti OAD na osobokilometer pre SR</t>
  </si>
  <si>
    <t>Parameter</t>
  </si>
  <si>
    <t>Benefit</t>
  </si>
  <si>
    <t>N_01 Náklady súhrn</t>
  </si>
  <si>
    <t>Celkové benefity podľa variantov</t>
  </si>
  <si>
    <t>Variant 0 (bez implementácie ICL)</t>
  </si>
  <si>
    <t>Zdroje financovania</t>
  </si>
  <si>
    <t>Iné ZF</t>
  </si>
  <si>
    <t>Celkové náklady na projekt podľa variantov do roku 2033</t>
  </si>
  <si>
    <t>Úroveň</t>
  </si>
  <si>
    <t>Kraj, SR</t>
  </si>
  <si>
    <t>Cieľové skupiny</t>
  </si>
  <si>
    <t>Iné zdroje financovania</t>
  </si>
  <si>
    <t>Hrubá mzda v doložke</t>
  </si>
  <si>
    <t>Výkony v osobokilometroch (rozdiel oproti predošlému roku), kraje</t>
  </si>
  <si>
    <t>VBD_SK_WIN:do1003rs</t>
  </si>
  <si>
    <t>NUM_VALUE</t>
  </si>
  <si>
    <t>Železničná doprava, SR</t>
  </si>
  <si>
    <t xml:space="preserve">Preprava osôb </t>
  </si>
  <si>
    <t>Vlakové kilometre</t>
  </si>
  <si>
    <t>tis. vlkm</t>
  </si>
  <si>
    <t>Výkony</t>
  </si>
  <si>
    <t>osoby</t>
  </si>
  <si>
    <t>vlkm</t>
  </si>
  <si>
    <t>oskm</t>
  </si>
  <si>
    <t>Železničná doprava, SR, rozdiel oproti predchádzajúcemu roku</t>
  </si>
  <si>
    <t>Železničná doprava, SR, rozdiel oproti predchádzajúcemu roku v %</t>
  </si>
  <si>
    <t>x</t>
  </si>
  <si>
    <t>Na modelovanie použitá priemerná zmena za posledných 18 rokov pred COVIDOM (na základe dostupnosti)</t>
  </si>
  <si>
    <t>Externá</t>
  </si>
  <si>
    <t xml:space="preserve">DM_xx_SR_železnice_ukazovat </t>
  </si>
  <si>
    <t>Vybrané ukazovatele železničnej koľajovej dopravy za SR</t>
  </si>
  <si>
    <t>Manažment kvality</t>
  </si>
  <si>
    <t xml:space="preserve">2,3,4 G </t>
  </si>
  <si>
    <t>el. pokladňa</t>
  </si>
  <si>
    <t>tarifno-informačný systémsystém, Prenos údajov z tarifno - informačného systému (poloha vozidla, odpočty, Cestovné poriadky atd.), 1ks, interné výberové konanie, vo vlastníctve, TransData s.r.o.; 4G WIFI -hotsot, internet pre cestujúcich,  1ks, interné výberové konanie, vo vlastníctve, TransData s.r.o.</t>
  </si>
  <si>
    <t>tarifno-informačný systém, zdroj dát pre tarifno-informačný systém o polohe vozidla,  1ks, interné výberové konanie, vo vlastníctve, TransData s.r.o.</t>
  </si>
  <si>
    <t>4G router vo vozidle, Wifi-hotspot. Internet pre cestujúcich,  1ks, interné výberové konanie, vo vlastníctve, TransData s.r.o.</t>
  </si>
  <si>
    <t>tarifno-informačný systém, Odosielanie - prijímanie dát vo vozovni (garáž,Depo),  1ks, interné výberové konanie, vo vlastníctve, TransData s.r.o., 1ks, interné výberové konanie, vo vlastníctve, TransData s.r.o.</t>
  </si>
  <si>
    <t>Predaj lístkov (mobil).,  1ks, interné výberové konanie, vo vlastníctve, TransData s.r.o.</t>
  </si>
  <si>
    <t>Bezpečnosť cestujúcich - záznam 7 dní. (vozidlá obstarané 2021 a 2023), 5ks, interné výberové konanie, vo vlastníctve</t>
  </si>
  <si>
    <t>Tlač lístkov z Tarifno- informačného systému,  1ks, interné výberové konanie, vo vlastníctve, TransData s.r.o.</t>
  </si>
  <si>
    <t>Počet vozidiel (2022, 2023)</t>
  </si>
  <si>
    <t>GPS</t>
  </si>
  <si>
    <t>WI FI</t>
  </si>
  <si>
    <t>BT maják</t>
  </si>
  <si>
    <t>NFC</t>
  </si>
  <si>
    <t>QR Reader</t>
  </si>
  <si>
    <t>BT</t>
  </si>
  <si>
    <t>Web</t>
  </si>
  <si>
    <t>EMV</t>
  </si>
  <si>
    <t>Pay as you Go</t>
  </si>
  <si>
    <t>Frictionless</t>
  </si>
  <si>
    <t>Plánovač cesty</t>
  </si>
  <si>
    <t>Nosič</t>
  </si>
  <si>
    <t>Médium lístka</t>
  </si>
  <si>
    <t>Papierový lístok (QR kód)</t>
  </si>
  <si>
    <t>Miesto nákupu</t>
  </si>
  <si>
    <t>Aplikácia</t>
  </si>
  <si>
    <t>Predajné miesto dopravcu</t>
  </si>
  <si>
    <t>Automat</t>
  </si>
  <si>
    <t>???</t>
  </si>
  <si>
    <t>Overenie/zaúčtovanie lístka</t>
  </si>
  <si>
    <t>Na vstupe do MHD</t>
  </si>
  <si>
    <t>Na výstupe z MHD</t>
  </si>
  <si>
    <t>Na výstupe zo ZSSK</t>
  </si>
  <si>
    <t>Na vstupe do ZSSK</t>
  </si>
  <si>
    <t>TAP, QR</t>
  </si>
  <si>
    <t>Doplnkové služby</t>
  </si>
  <si>
    <t>B_02 Benefity varianty</t>
  </si>
  <si>
    <t>Mapa posudzovaných variantov</t>
  </si>
  <si>
    <t>Miesto nákupu lístka</t>
  </si>
  <si>
    <t>Služby agregátorov</t>
  </si>
  <si>
    <r>
      <t>Variant A</t>
    </r>
    <r>
      <rPr>
        <vertAlign val="superscript"/>
        <sz val="9"/>
        <color theme="1"/>
        <rFont val="Calibri"/>
        <family val="2"/>
        <charset val="238"/>
        <scheme val="minor"/>
      </rPr>
      <t>*)</t>
    </r>
  </si>
  <si>
    <r>
      <t>Variant B</t>
    </r>
    <r>
      <rPr>
        <vertAlign val="superscript"/>
        <sz val="9"/>
        <color theme="1"/>
        <rFont val="Calibri"/>
        <family val="2"/>
        <charset val="238"/>
        <scheme val="minor"/>
      </rPr>
      <t>**)</t>
    </r>
  </si>
  <si>
    <r>
      <t>Variant C</t>
    </r>
    <r>
      <rPr>
        <vertAlign val="superscript"/>
        <sz val="9"/>
        <color theme="1"/>
        <rFont val="Calibri"/>
        <family val="2"/>
        <charset val="238"/>
        <scheme val="minor"/>
      </rPr>
      <t>***)</t>
    </r>
  </si>
  <si>
    <t>TAP</t>
  </si>
  <si>
    <t>VOD parkovanie</t>
  </si>
  <si>
    <t>VOD Bike sharing</t>
  </si>
  <si>
    <t>VOD Car sharing</t>
  </si>
  <si>
    <t>Podujatia (kultúra, šport)</t>
  </si>
  <si>
    <t>Komerčné ponuky (zľavy)</t>
  </si>
  <si>
    <t>Služba ICL</t>
  </si>
  <si>
    <t>validácia je vykonná automaticky bez zásahu používateľa</t>
  </si>
  <si>
    <t>Mobil (aplikácia)</t>
  </si>
  <si>
    <t>Spôsob platby</t>
  </si>
  <si>
    <t>Hotovosť</t>
  </si>
  <si>
    <t>áno</t>
  </si>
  <si>
    <t>-</t>
  </si>
  <si>
    <t>priloženie bezkontakného nosiča (mobil, BČK, EMV)</t>
  </si>
  <si>
    <t>QR</t>
  </si>
  <si>
    <t>vizuálane načítanie QR kódu z displeja mobilu alebo papierového lístka</t>
  </si>
  <si>
    <t>Kontrola vo vozidle</t>
  </si>
  <si>
    <t>MHD - Aplikácia revízora</t>
  </si>
  <si>
    <t>ZSSK - Aplikácia sprievodcu</t>
  </si>
  <si>
    <t>DM_xx_Casy vybavenia</t>
  </si>
  <si>
    <t>DM_xx_Formy nakupu listkov</t>
  </si>
  <si>
    <t>Trans data</t>
  </si>
  <si>
    <t>Východ (KE + PO) - všetci dopravci</t>
  </si>
  <si>
    <t>Východ (KE + PO) - s platbou BK</t>
  </si>
  <si>
    <t>Stred (BB) - všetci dopravci</t>
  </si>
  <si>
    <t>Stred (BB) - s platbou BK</t>
  </si>
  <si>
    <t>Sever (ZA + TN) - všetci dopravci</t>
  </si>
  <si>
    <t>Sever (ZA + TN) - s platbou BK</t>
  </si>
  <si>
    <t>Západ (BA + NR + TT) - všetci dopravci*</t>
  </si>
  <si>
    <t>Západ (BA + NR + TT) - s platbou BK*</t>
  </si>
  <si>
    <t>Pocet transakcií v % (z celkového poctu transakcií za 2023)</t>
  </si>
  <si>
    <t>Jazda za hotovost kúpa predplatného lístka</t>
  </si>
  <si>
    <t>Dopravná karta (jazda na kredit)</t>
  </si>
  <si>
    <t>Banková karta</t>
  </si>
  <si>
    <t>* - mimo DPB</t>
  </si>
  <si>
    <t>Zdroj: Transadata, e-mail 19.1.2024</t>
  </si>
  <si>
    <t>V obehu je takmer 1.5 M ďopravných kariet, vrátane kariet študentov. Pocet aktívnych kariet mesacne (znamená aspon 1 transakcia z kreditu - teda nie predplatné lístky, ktoré sa nemusia prikladat) sa pohybuje medzi 0.5M až 0.7M mimo DPB.</t>
  </si>
  <si>
    <t>Za rok 2023 evidujeme cca 173M transakcií (v podstate jázd + nákupov predplatných lístkov - nie jázd na predplatné lístky), z coho bolo 57.7M v hotovosti, 114.2M z dopravnej karty a 0.8M z bankovej karty. Malo by ist o celé Slovensko okrem DPB.
V rámci ZA + TN kraja je možnost EMV platby už takmer kompletná (preto ten menší rozdiel medzi riadkami).
Na východe má podstatný vplyv DPMK, kde platba EMV ešte nie je možná.</t>
  </si>
  <si>
    <t>Dopravca SAD Dunajská Streda</t>
  </si>
  <si>
    <t>hotovosť</t>
  </si>
  <si>
    <t>DCK</t>
  </si>
  <si>
    <t>e-shop</t>
  </si>
  <si>
    <t>38,01%</t>
  </si>
  <si>
    <t>58,09%</t>
  </si>
  <si>
    <t>3,90%</t>
  </si>
  <si>
    <t>Dopravca ARRIVA Trnava</t>
  </si>
  <si>
    <t>Doprava SKAND Skalica</t>
  </si>
  <si>
    <t>34,56%</t>
  </si>
  <si>
    <t>60,43%</t>
  </si>
  <si>
    <t>5,01%</t>
  </si>
  <si>
    <t>37,12%</t>
  </si>
  <si>
    <t>59,22%</t>
  </si>
  <si>
    <t>3,66%</t>
  </si>
  <si>
    <t>Časový úsek?</t>
  </si>
  <si>
    <t>TTSK - platby u dopravcov</t>
  </si>
  <si>
    <t>BID SK - platby u dopravcov</t>
  </si>
  <si>
    <t>Zdroj: TTSK, e-mail 23.1.2024, Eva Píšová, Oddelenie dopravnej obslužnosti</t>
  </si>
  <si>
    <t>čipová karta</t>
  </si>
  <si>
    <t>označený papierový lístok</t>
  </si>
  <si>
    <t>banková karta</t>
  </si>
  <si>
    <t xml:space="preserve">mobilná aplikácia </t>
  </si>
  <si>
    <t>22.11.2023</t>
  </si>
  <si>
    <t>25.11.2023</t>
  </si>
  <si>
    <t>27,90%</t>
  </si>
  <si>
    <t>43,90%</t>
  </si>
  <si>
    <t>64,80%</t>
  </si>
  <si>
    <t>45,17%</t>
  </si>
  <si>
    <t>0,10%</t>
  </si>
  <si>
    <t>0,21%</t>
  </si>
  <si>
    <t>0,67%</t>
  </si>
  <si>
    <t>0,50%</t>
  </si>
  <si>
    <t>3,69%</t>
  </si>
  <si>
    <t>7,59%</t>
  </si>
  <si>
    <t>2,84%</t>
  </si>
  <si>
    <t>2,63%</t>
  </si>
  <si>
    <t>Zdroj: BID SK, e-mail 23.1.2024</t>
  </si>
  <si>
    <t>Variant A</t>
  </si>
  <si>
    <t>Variant B</t>
  </si>
  <si>
    <t>Variant C</t>
  </si>
  <si>
    <t>Integrácia primárne s podporou aplikácie a doplnkovo s existujúcimi systémami vybavenia.</t>
  </si>
  <si>
    <t>https://www.google.com/url?sa=t&amp;rct=j&amp;q=&amp;esrc=s&amp;source=web&amp;cd=&amp;ved=2ahUKEwjC7_r3k4WEAxUi0wIHHT3MBh8QFnoECBsQAQ&amp;url=https%3A%2F%2Fec.europa.eu%2Finfo%2Ffunding-tenders%2Fopportunities%2Fdocs%2F2021-2027%2Fcef%2Ftemp-form%2Faf%2Fsimplified-cba-calculator_cef-t_en.xlsm&amp;usg=AOvVaw1cveIUiZGykbWgnGcNrhl5&amp;opi=89978449</t>
  </si>
  <si>
    <t>CEF: simplified CBA calculator for Transport</t>
  </si>
  <si>
    <t>https://cinea.ec.europa.eu/system/files/2021-10/Simplified%20Cost-Benefit%20Analysis.pdf</t>
  </si>
  <si>
    <t>https://jaspers.eib.org/activitiesNP/2022/Economic-Appraisal-methodologies-and-CPR-requirements-in-the-2021-27-period/5%20-%20CBA%20Excel%20tool%20by%20CINEA_10-11-2022%20final.pdf</t>
  </si>
  <si>
    <t>Jednotka</t>
  </si>
  <si>
    <t>autobus - pohon na uhľovodíky</t>
  </si>
  <si>
    <t>Mód</t>
  </si>
  <si>
    <t>Priemerné náklady nehôd na osobokilometer pre SR</t>
  </si>
  <si>
    <t>Cena času pre SR</t>
  </si>
  <si>
    <t>železničná/cestná doprava - dochádzanie za prácou &amp; biznisom</t>
  </si>
  <si>
    <t>železničná/cestná doprava - cestovanie vo voľnom čase &amp; za zábavou</t>
  </si>
  <si>
    <t>Náklady vypúšťania emisií CO2 na osobokilometer pre SR</t>
  </si>
  <si>
    <t>autobus - pohon na uhľovodíky, EV</t>
  </si>
  <si>
    <t>autobus - EV (odhad)</t>
  </si>
  <si>
    <t>Dopravné služby</t>
  </si>
  <si>
    <t>MHD spoje v zmysle zákona</t>
  </si>
  <si>
    <t>??? Jednorázové lístky</t>
  </si>
  <si>
    <t>PAD Spoje v zmysle zákona</t>
  </si>
  <si>
    <t>Železničné spoje v zmysle zákona</t>
  </si>
  <si>
    <t>Ostatní zapojení dopravcovia</t>
  </si>
  <si>
    <t>nástup</t>
  </si>
  <si>
    <t>výstup</t>
  </si>
  <si>
    <t>Nosič: Papierový lístok s QR kódom</t>
  </si>
  <si>
    <t>Legenda</t>
  </si>
  <si>
    <t>vizuálne načítanie QR kódu z displeja mobilu alebo papierového lístka</t>
  </si>
  <si>
    <t>v prípade nástupu a výstupu - nasnímanie čítačkou vo vozidle</t>
  </si>
  <si>
    <t>v prípade kontroly - čítačkou revízora/sprievodcu (ZSSK)</t>
  </si>
  <si>
    <t>revízor</t>
  </si>
  <si>
    <t>vozidlo</t>
  </si>
  <si>
    <t>V_01 Varianty</t>
  </si>
  <si>
    <t>Mapa spôsobov validácie podľa jednotlivých variantov</t>
  </si>
  <si>
    <t>Mapa a počty použitých zariadení podľa variantov, spôsobu predaja, spôsobu validácie</t>
  </si>
  <si>
    <t>DM_xx_Distribúcia presunu</t>
  </si>
  <si>
    <t>Distribúcia presunu obyvateľstva v krajoch a medzi krajmi (ŠÚ)</t>
  </si>
  <si>
    <t>SR, Kraj</t>
  </si>
  <si>
    <t>DM_xx_Prejazdené km</t>
  </si>
  <si>
    <t>Priemerný počet prejazdených km v krajoch a medzi krajmi</t>
  </si>
  <si>
    <t>EMV Reader</t>
  </si>
  <si>
    <t>Osobná automobilová doprava - SK</t>
  </si>
  <si>
    <t>Priemer za posl. 14 rokov</t>
  </si>
  <si>
    <t>Priemer za posl. 14 rokov pred 2020-2022</t>
  </si>
  <si>
    <t>Ukazovateľ</t>
  </si>
  <si>
    <t>Ostatní (objem)</t>
  </si>
  <si>
    <t>Ostatní (%)</t>
  </si>
  <si>
    <t>Nezistené</t>
  </si>
  <si>
    <t>autobus okrem mestskej hromadnej dopravy (MHD)</t>
  </si>
  <si>
    <t>bicykel, kolobežka</t>
  </si>
  <si>
    <t>iný</t>
  </si>
  <si>
    <t>nezistené</t>
  </si>
  <si>
    <t>osobný automobil</t>
  </si>
  <si>
    <t>pešo</t>
  </si>
  <si>
    <t>vlak</t>
  </si>
  <si>
    <t>Bez info o kraji</t>
  </si>
  <si>
    <t>Podiel EV vozidiel na cestách v SK</t>
  </si>
  <si>
    <t>Odhad podielu EV na cestách (OA, autobusy)</t>
  </si>
  <si>
    <t>Odhad podielu OA a autobusov s uhľovodíkovými pohonmi na cestách</t>
  </si>
  <si>
    <t>autobus - EV</t>
  </si>
  <si>
    <t>€2021- € per hour</t>
  </si>
  <si>
    <t>Náklady znečistenia ovzdušia (mimo CO2) na vozidlokilometer pre SR</t>
  </si>
  <si>
    <t>Priemerná obsadenosť vozidla OAD v SR vypočítaná z nákladov na nehodovosť (priemerné náklady na kilometer/priemerné náklady na osobokilometer)</t>
  </si>
  <si>
    <t>Euroactive, vlastná analýza KPMG: 2040 - svet 33%, EÚ bude viesť; SK - v r. 2040 konzervatívny odhad 25%, 2030-5,2%, 2037-18%</t>
  </si>
  <si>
    <t>Počet vozidiel (priemer 2017-2023)/Počet vozidiel v 2022,2023</t>
  </si>
  <si>
    <t>Priemerná zmena</t>
  </si>
  <si>
    <t>bezpečnosť cestujúcich, 3,4ks, dodané výrobcom, súčasť výbavy, One systemsx, od r. 2019</t>
  </si>
  <si>
    <t>dodané údaje</t>
  </si>
  <si>
    <t>modelované údaje</t>
  </si>
  <si>
    <t>východiská/koeficienty pre modely</t>
  </si>
  <si>
    <t>Priemer zo známych údajov za rok 2023 - konštatnta pre modelovanie roka 2023, tam, kde chýbajú údaje za daná rok</t>
  </si>
  <si>
    <t>Spolu (známe údaje)</t>
  </si>
  <si>
    <t>Priemerná dĺžka trasy v rámci kraja</t>
  </si>
  <si>
    <t>Priemerná dĺžka trasy medzi krajmi</t>
  </si>
  <si>
    <t>Počet KM</t>
  </si>
  <si>
    <t>Priemer zo známych údajov za rok 2023 - konštatnta pre modelovanie roka 2023, tam, kde chýbajú údaje za daný rok</t>
  </si>
  <si>
    <t>DPMŽ používal pre počet cestujúcich do roku 2021 odlišnú metodiku. Od roku 2021 používa metodiku podľa ŠÚ</t>
  </si>
  <si>
    <t>Bánovce nad Bebravou</t>
  </si>
  <si>
    <t>Bojnice</t>
  </si>
  <si>
    <t>Brezno</t>
  </si>
  <si>
    <t>Čadca</t>
  </si>
  <si>
    <t>Dolný Kubín</t>
  </si>
  <si>
    <t>Dunajská Streda</t>
  </si>
  <si>
    <t>Galanta</t>
  </si>
  <si>
    <t>Handlová</t>
  </si>
  <si>
    <t>Hlohovec</t>
  </si>
  <si>
    <t>Hriňová</t>
  </si>
  <si>
    <t>Humenné</t>
  </si>
  <si>
    <t>Kežmarok</t>
  </si>
  <si>
    <t>Komárno</t>
  </si>
  <si>
    <t>Kysucké Nové Mesto</t>
  </si>
  <si>
    <t>Levice</t>
  </si>
  <si>
    <t>Levoča</t>
  </si>
  <si>
    <t>Liptovský Mikuláš</t>
  </si>
  <si>
    <t>Malacky</t>
  </si>
  <si>
    <t>Malý Šariš</t>
  </si>
  <si>
    <t>Michalovce</t>
  </si>
  <si>
    <t>Nové Mesto nad Váhom</t>
  </si>
  <si>
    <t>Nové Zámky</t>
  </si>
  <si>
    <t>Partizánske</t>
  </si>
  <si>
    <t>Pezinok</t>
  </si>
  <si>
    <t>Piešťany</t>
  </si>
  <si>
    <t>Púchov</t>
  </si>
  <si>
    <t>Rimavská Sobota</t>
  </si>
  <si>
    <t>Rožňava</t>
  </si>
  <si>
    <t>Šahy</t>
  </si>
  <si>
    <t>Šaľa</t>
  </si>
  <si>
    <t>Senec</t>
  </si>
  <si>
    <t>Senica</t>
  </si>
  <si>
    <t>Sereď</t>
  </si>
  <si>
    <t>Skalica</t>
  </si>
  <si>
    <t>Snina</t>
  </si>
  <si>
    <t>Stará Ľubovňa</t>
  </si>
  <si>
    <t>Štúrovo</t>
  </si>
  <si>
    <t>Šurany</t>
  </si>
  <si>
    <t>Svit</t>
  </si>
  <si>
    <t>Topoľčany</t>
  </si>
  <si>
    <t>Trebišov</t>
  </si>
  <si>
    <t>Veľký Šariš</t>
  </si>
  <si>
    <t>Vráble</t>
  </si>
  <si>
    <t>Vranov nad Topľou</t>
  </si>
  <si>
    <t>Vrútky</t>
  </si>
  <si>
    <t>Vysoké Tatry</t>
  </si>
  <si>
    <t>Žiar nad Hronom</t>
  </si>
  <si>
    <t>Zlaté Moravce</t>
  </si>
  <si>
    <t>Bratislavský samosprávny kraj</t>
  </si>
  <si>
    <t>Dopravný podnik Bratislava</t>
  </si>
  <si>
    <t>SAD Žilina</t>
  </si>
  <si>
    <t>Arriva Liorbus</t>
  </si>
  <si>
    <t>SAD Dunajská Streda</t>
  </si>
  <si>
    <t>Hater-Handlová</t>
  </si>
  <si>
    <t>BUS Krnáč preprava</t>
  </si>
  <si>
    <t>DZS - M. K. TRANS</t>
  </si>
  <si>
    <t>Arriva Nové Zámky</t>
  </si>
  <si>
    <t>Dopravný podnik mesta Košice</t>
  </si>
  <si>
    <t>Arriva Mobility Solutions</t>
  </si>
  <si>
    <t>Dopravný podnik mesta Prešov</t>
  </si>
  <si>
    <t>SAD Trenčín</t>
  </si>
  <si>
    <t>Slovak Lines Express</t>
  </si>
  <si>
    <t>Autobusová doprava Púchov</t>
  </si>
  <si>
    <t>SKAND Skalica</t>
  </si>
  <si>
    <t>Ejzatour</t>
  </si>
  <si>
    <t>Brynczka</t>
  </si>
  <si>
    <t>Freibus Slovakia</t>
  </si>
  <si>
    <t>Arriva Michalovce</t>
  </si>
  <si>
    <t>Arriva Nitra</t>
  </si>
  <si>
    <t>SAD Humenné</t>
  </si>
  <si>
    <t>Dopravný podnik mesta Žiliny</t>
  </si>
  <si>
    <t>Aktualizácia 08/02/2024</t>
  </si>
  <si>
    <r>
      <t>Počet vozidiel (2022/2023) -</t>
    </r>
    <r>
      <rPr>
        <sz val="11"/>
        <color rgb="FF92D050"/>
        <rFont val="Calibri"/>
        <family val="2"/>
        <charset val="238"/>
        <scheme val="minor"/>
      </rPr>
      <t xml:space="preserve"> zdroj prieskum</t>
    </r>
    <r>
      <rPr>
        <sz val="11"/>
        <color theme="1"/>
        <rFont val="Calibri"/>
        <family val="2"/>
        <scheme val="minor"/>
      </rPr>
      <t>, BID SK</t>
    </r>
  </si>
  <si>
    <t>ZSSK (z toho Leo Express 21)</t>
  </si>
  <si>
    <t>Počet obyvateľov v kraji (ŠÚ 2021), https://www.scitanie.sk/en/population/basic-results/number-of-population/SR/SK0/KR</t>
  </si>
  <si>
    <t>Počet obyvateľov v kraji/počet vozidiel</t>
  </si>
  <si>
    <t>Priemer (počet obyvateľov na 1 vozidlo PAD)</t>
  </si>
  <si>
    <t>B1</t>
  </si>
  <si>
    <t>B2</t>
  </si>
  <si>
    <t>B3</t>
  </si>
  <si>
    <t>B4</t>
  </si>
  <si>
    <t>B5</t>
  </si>
  <si>
    <t>B6</t>
  </si>
  <si>
    <t>MHD - počty vozidiel (2022, 2023)</t>
  </si>
  <si>
    <t>Železnice - počty vozidiel (2022, 2023)</t>
  </si>
  <si>
    <t>PAD - kraje - počty vozidiel (2022, 2023)</t>
  </si>
  <si>
    <t>Zdroj: IDS BK, prieskum u objednávateľov</t>
  </si>
  <si>
    <t>Celkom</t>
  </si>
  <si>
    <t>25ks, kúpa, Transdata</t>
  </si>
  <si>
    <t>18ks, kúpa, Transdata</t>
  </si>
  <si>
    <t>4G/5G, prenos údajov z vozidla, internet pre cetujúcich, 1ks, integrované dodávateľom, súčast výbavy vozidla, súčast výbavy vozidla, Transdata</t>
  </si>
  <si>
    <t>sledovanie polohy vozidla v prevádzke, 1ks,  integrované dodávateľom, súčast výbavy vozidla, súčast výbavy vozidla, Transdata</t>
  </si>
  <si>
    <t>internet pre cestujúcich, 1ks, integrované dodávateľom, súčast výbavy vozidla, súčast výbavy vozidla, Transdata</t>
  </si>
  <si>
    <t>platba cestujúcich, 1ks, integrované dodávateľom, súčast výbavy vozidla, súčast výbavy vozidla, Transdata</t>
  </si>
  <si>
    <t>monitorovanie interiéru a exteriéru vozidla , 7ks, integrované dodávateľom, súčast výbavy vozidla, súčast výbavy vozidla, Transdata</t>
  </si>
  <si>
    <t>tlač potrvdenia pre cestujúcich, 1ks, integrované dodávateľom, súčast výbavy vozidla, súčast výbavy vozidla, Transdata</t>
  </si>
  <si>
    <t>https://datacube.statistics.sk/#!/view/sk/VBD_SLOVSTAT/do2014ms/v_do2014ms_00_00_00_sk</t>
  </si>
  <si>
    <t>Rok 2016 je vypočítaný na základe priemerov medziročných rozdielov medzi CVD a PAD u kraja za obdobie 2017-2019 (t.j.2018 a 2019). Rok 2023 je vypočítaný na základe priemerov u krajov so známymi údajmi za 2023 s predpokladom, že v rokoch 2023 a 2024 zotavenie z poklesu v čase pandémie COVOD-19 (2020, 2021) kulminuje (rok 2024=2023) a od roku 2025 sa obnoví trend z predcovidových rokov (priemer trendov u kraja so známymi údajmi - za celé obdobie kvôli väčšej vzorke - alebo: priemer trendov zo všetkých známych krajov u krajov bez údajov)</t>
  </si>
  <si>
    <t>Dáta u BSK za r. 2017-2022 boli počítané inou metodikou a čísla za PAD boli vyššie ako čísla za CVD. Dáta sú vypočítané ako údaje za CVD v pomere k priemernému podielu CVD a PAD u krajov s existujúcimi dátami (použité celé znmáme obdobie kvôli väčšej vzorke a presnejšiemu výsledku)  s predpokladom, že v rokoch 2023 a 2024 zotavenie z poklesu v čase pandémie COVOD-19 (2020, 2021) kulminuje (rok 2024=2023) a od roku 2025 sa obnoví trend s predcovidových rokov (priemer trendov u kraja so známymi údajmi - za celé obdobie kvôli väčšej vzorke - alebo: priemer trendov zo všetkých známych krajov u krajov bez údajov)</t>
  </si>
  <si>
    <t>Dáta sú vypočítané ako údaje za CVD v pomere k priemernému podielu CVD a PAD u krajov s existujúcimi dátami (použité celé znmáme obdobie kvôli väčšej vzorke a presnejšiemu výsledku)  s predpokladom, že v rokoch 2023 a 2024 zotavenie z poklesu v čase pandémie COVOD-19 (2020, 2021) kulminuje (rok 2024=2023) a od roku 2025 sa obnoví trend s predcovidových rokov (priemer trendov u kraja so známymi údajmi - za celé obdobie kvôli väčšej vzorke - alebo: priemer trendov zo všetkých známych krajov u krajov bez údajov)</t>
  </si>
  <si>
    <t>Rok 2016 je vypočítaný na základe priemerov medziročných rozdielov medzi CVD a PAD u kraja za obdobie 2017-2019 (t.j.2018 a 2019). Rok 2023 je vypočítaný na základe priemerov u krajov so známymi údajmi za 2023 s predpokladom, že v rokoch 2023 a 2024 zotavenie z poklesu v čase pandémie COVOD-19 (2020, 2021) kulminuje (rok 2024=2023) a od roku 2025 sa obnoví trend z predcovidových rokov (priemer trendov u kraja so známymi údajmi - za celé obdobie kvôli väčšej vzorke - alebo: priemer trendov zo všetkých známych krajov u krajov bez údajov).</t>
  </si>
  <si>
    <t>Rok 2016 je vypočítaný na základe priemerov medziročných rozdielov medzi CVD a PAD u kraja za obdobie 2017-2019 (t.j.2018 a 2019). Určenie roku 2024 vychádza z predpokladu, že v rokoch 2023 a 2024 zotavenie z poklesu v čase pandémie COVOD-19 (2020, 2021) kulminuje (rok 2024=2023) a od roku 2025 sa obnoví trend z predcovidových rokov (priemer trendov u kraja so známymi údajmi - za celé obdobie kvôli väčšej vzorke - alebo: priemer trendov zo všetkých známych krajov u krajov bez údajov)</t>
  </si>
  <si>
    <t>Roky 2016-2018 sú vypočítané na základe priemerov pomerov medzi CVD a PAD u známych krajov za obdobie 2017-2022. Rok 2024 je vypočítaný s predpokladom, že v rokoch 2023 a 2024 zotavenie z poklesu v čase pandémie COVOD-19 (2020, 2021) kulminuje (rok 2024=2023) a od roku 2025 sa obnoví trend z predcovidových rokov (priemer trendov u kraja so známymi údajmi - za celé obdobie kvôli väčšej vzorke - alebo: priemer trendov zo všetkých známych krajov u krajov bez údajov)</t>
  </si>
  <si>
    <t>Rok 2016 je vypočítaný na základe priemerov medziročných rozdielov medzi CVD a PAD u kraja za obdobie 2017-2019 (t.j.2018 a 2019). Rok 2023 je určený na základe priemerov u známych krajov. Určenie roku 2024  vychádza z predpokladu, že zotavenie z poklesu v čase pandémie COVOD-19 (2020, 2021) kulminuje (rok 2024=2023) a od roku 2025 sa obnoví trend z predcovidových rokov (priemer trendov u kraja so známymi údajmi - za celé obdobie kvôli väčšej vzorke - alebo: priemer trendov zo všetkých známych krajov u krajov bez údajov)</t>
  </si>
  <si>
    <t>Dáta pre tržby v tomto rozdelení nie sú k dispozícii</t>
  </si>
  <si>
    <t>Ukazovatele osobnej dopravy - preprava osôb (tis. osôb)</t>
  </si>
  <si>
    <t>Ukazovatele osobnej dopravy - výkony 1)  (mil. oskm)</t>
  </si>
  <si>
    <t>Ukazovatele osobnej dopravy - preprava osôb  (tis. osôb)</t>
  </si>
  <si>
    <t>Ukazovatele osobnej dopravy - výkony 1) (mil. oskm)</t>
  </si>
  <si>
    <t>&amp; ŠÚ 2023 marec: Priloha_1_Nakladna_a_osobna_doprava_SR032023</t>
  </si>
  <si>
    <t>priemer nie je počítaný z BSK, keďže čísla sa výrazne vymykajú priemeru</t>
  </si>
  <si>
    <t>Tržba za 1 prepravenú osobu</t>
  </si>
  <si>
    <t xml:space="preserve">Pre ICL </t>
  </si>
  <si>
    <t>Priemr bez IDS BK</t>
  </si>
  <si>
    <t>Variant A - modal split OAD/VOD</t>
  </si>
  <si>
    <t>B_04 Prieskum</t>
  </si>
  <si>
    <t>B_011 Matica Benefity</t>
  </si>
  <si>
    <t>Ušetrený čas cestujúcich - vybavenie</t>
  </si>
  <si>
    <t>Variant B - modal split OAD/VOD</t>
  </si>
  <si>
    <t>Variant C - modal split OAD/VOD</t>
  </si>
  <si>
    <t>Úspora času pri vybavení (v hodinách)</t>
  </si>
  <si>
    <t>Počet cestujúcich s kombinovanými lístkami</t>
  </si>
  <si>
    <t>Ušetrený čas cestujúcich - nákup lístka</t>
  </si>
  <si>
    <t>Celkom za 10 rokov</t>
  </si>
  <si>
    <t>Priemerná cena lístka</t>
  </si>
  <si>
    <t>Variant A - adopcia ICL</t>
  </si>
  <si>
    <t>denne</t>
  </si>
  <si>
    <t>inak ako denne</t>
  </si>
  <si>
    <t>0-14</t>
  </si>
  <si>
    <t>15-64</t>
  </si>
  <si>
    <t>Frekvencia</t>
  </si>
  <si>
    <t>Vek</t>
  </si>
  <si>
    <t>65 a viac</t>
  </si>
  <si>
    <t>Všetky kraje - cestovanie mimo kraja</t>
  </si>
  <si>
    <t>Všetky kraje - cestovanie v rámci kraja</t>
  </si>
  <si>
    <t>Percento adopcie ICL zo všetkých cestujúcich v danom roku a variante</t>
  </si>
  <si>
    <t>Cestujúci mimo kraj autobusy vrátane MHD</t>
  </si>
  <si>
    <t>Priemerná úspora času pri prechode na integrovanú dopravu vynásobená počtom všetkých cestujúcich</t>
  </si>
  <si>
    <t>Čas vybavenia cestujúcich vo vozdile</t>
  </si>
  <si>
    <t>Čas nákupu lístkov</t>
  </si>
  <si>
    <t>Priemerné skrátenie času vybavenia cestujúceho v integrovanej doprave</t>
  </si>
  <si>
    <t>Priemerná hodinová sadzba 2020</t>
  </si>
  <si>
    <t>ICL lístok</t>
  </si>
  <si>
    <t>ICL Trasový lístok</t>
  </si>
  <si>
    <t>ICL Sieťový lístok</t>
  </si>
  <si>
    <t>ICL trasový lístok ICL</t>
  </si>
  <si>
    <t>Umiestnenie</t>
  </si>
  <si>
    <t>sprievodca</t>
  </si>
  <si>
    <t>NFC/QR Reader</t>
  </si>
  <si>
    <t>Cena/ks bez DPH</t>
  </si>
  <si>
    <t>Podrobný rozpočet je v samostatnom exceli</t>
  </si>
  <si>
    <t>MHD, PAD, ZSSK</t>
  </si>
  <si>
    <t>Kúpa zariadení</t>
  </si>
  <si>
    <t>MHD, ZSSK</t>
  </si>
  <si>
    <t>Celkom bez DPH</t>
  </si>
  <si>
    <t>NFC/QR Reader (kontrola)</t>
  </si>
  <si>
    <t>NFC/QR/EMV Reader (kontrola)</t>
  </si>
  <si>
    <t>Cestovanie denne - počet pracovných dní do roka</t>
  </si>
  <si>
    <t>Osobný automobil všetky vekové kategórie</t>
  </si>
  <si>
    <t>Počet km ušetrených v OAD v kraji (denne)</t>
  </si>
  <si>
    <t>Počet km ušetrených v OAD medzi krajmi (denne)</t>
  </si>
  <si>
    <t>Počet km ušetrených v OAD medzi krajmi (nie denne)</t>
  </si>
  <si>
    <t>NB4</t>
  </si>
  <si>
    <t>NB2</t>
  </si>
  <si>
    <t>NB1</t>
  </si>
  <si>
    <t>NB5</t>
  </si>
  <si>
    <t>NB3</t>
  </si>
  <si>
    <t>Počet vozidiel</t>
  </si>
  <si>
    <t xml:space="preserve">NFC </t>
  </si>
  <si>
    <t>Počet km ušetrených v OAD v kraji (nie denne)</t>
  </si>
  <si>
    <t>Variant B - adopcia ICL</t>
  </si>
  <si>
    <t>Variant C - adopcia ICL</t>
  </si>
  <si>
    <t>Základné zdroje</t>
  </si>
  <si>
    <t>DM_16_Vyvoj cien cest. lístkov</t>
  </si>
  <si>
    <t>ŠÚ, periodická tlač</t>
  </si>
  <si>
    <t>ô</t>
  </si>
  <si>
    <t>Pomocný výpočet</t>
  </si>
  <si>
    <t>Priemer percentuálnych medziročných rozdielov za 10 predcovidových rokov na úrovni celej SR</t>
  </si>
  <si>
    <t>Aktuálny stav zariadení -  dáta získané z prieskumu u objednávateľov</t>
  </si>
  <si>
    <t>Typ dopravy</t>
  </si>
  <si>
    <t>Celkový počet vozidiel v 2022, 2023</t>
  </si>
  <si>
    <t>Počet zariadení</t>
  </si>
  <si>
    <t xml:space="preserve">Počet vozidiel </t>
  </si>
  <si>
    <t>Zariadenie/vozidlo</t>
  </si>
  <si>
    <t>Potrebný počet zariadení</t>
  </si>
  <si>
    <t>vzorce</t>
  </si>
  <si>
    <t>Spracovanie dát z prieskumu u objednávateľov:</t>
  </si>
  <si>
    <t>Zdroj údajov pre SR do roku 2022 je z hárku DM_01 ( Súhrnné ukazovatele za dopravu [do1003rs] - DATAcube. (statistics.sk) ). Rok 2023 je vypočítaný na základe priemerného medziročného rastu výkonov v roku 2023 oproti roku 2022 z miest, za ktoré máme reálne údaje od prevádzkovateľov (Bardejov, Považská Bystrica, Trnava, Žilina). 
Predpokladáme, že zotavenie z poklesu v rámci pandemických rokov kulminuje v roku 2023 a od roku 2024 sa obnoví trend z predcovidových rokov - vypočítaný ako priemer percentuálnych medziročných rozdielov za 10 predcovidových rokov na úrovni celej SR, t.j. 2010-2019  (bunka C76).</t>
  </si>
  <si>
    <t>2 lístková kombinácia</t>
  </si>
  <si>
    <t>Variant 1</t>
  </si>
  <si>
    <t>Variant 2</t>
  </si>
  <si>
    <t>Variant 3</t>
  </si>
  <si>
    <t>3 lístková kombinácia</t>
  </si>
  <si>
    <t>Variant 4</t>
  </si>
  <si>
    <t>Preprava osôb, vlakové kilometre, výkony:</t>
  </si>
  <si>
    <t>Tržby:</t>
  </si>
  <si>
    <t>tis. €</t>
  </si>
  <si>
    <t xml:space="preserve">PAD </t>
  </si>
  <si>
    <t>Varianty</t>
  </si>
  <si>
    <t>Priemer za posl. 20 rokov</t>
  </si>
  <si>
    <t>Priemer za posl. 17 rokov pred 2020-2022</t>
  </si>
  <si>
    <t>Typ 1</t>
  </si>
  <si>
    <t>Typ 2</t>
  </si>
  <si>
    <t>Typ 3</t>
  </si>
  <si>
    <t>Druh</t>
  </si>
  <si>
    <t>Čas</t>
  </si>
  <si>
    <t>Variant 5</t>
  </si>
  <si>
    <t>https://www.zssk.sk/o-spolocnosti/vyrocna-sprava/ ; https://sita.sk/nasadoprava/cestujucich-vo-vlakoch-postupne-pribuda-trzby-zssk-za-rok-2023-by-mohli-dosiahnut-az-93-milionov-eur/</t>
  </si>
  <si>
    <t>Výročné správy ZSSK (nebolo možné oddeliť tržby za prepravu osôb a tržby za výkony osobných vozňov - vo väčšine správ uvádzaných ako tržby za prepravu - používaný je preto indikátor preprava osôb a súvisiace výkony)</t>
  </si>
  <si>
    <t>Tržba za 1 prepr. osobu</t>
  </si>
  <si>
    <t>€ per p</t>
  </si>
  <si>
    <t>IAD - pohon na uhľovodíky</t>
  </si>
  <si>
    <t>IAD - pohon na uhľovodíky (odhad)</t>
  </si>
  <si>
    <t>IAD - EV</t>
  </si>
  <si>
    <t>autobus, IAD - EV</t>
  </si>
  <si>
    <t>IAD - pohon na benzín</t>
  </si>
  <si>
    <t>Zdroje</t>
  </si>
  <si>
    <t>Priemerná obsadenosť vozidla IAD v SR vypočítaná z nákladov na znečistenie ovzdušia (priemerné náklady na kilometer/priemerné náklady na osobokilometer - formulár CEF, údaje za SR)</t>
  </si>
  <si>
    <t>sec</t>
  </si>
  <si>
    <t>€2020- € per hour</t>
  </si>
  <si>
    <t>Preprava osôb, výkony:</t>
  </si>
  <si>
    <t>Výkony: Statista</t>
  </si>
  <si>
    <t>Published by 
Mathilde Carlier
, Nov 30, 2023</t>
  </si>
  <si>
    <t>IAD, SR</t>
  </si>
  <si>
    <t>Priemerná obsadenosť osobného automobilu v SR</t>
  </si>
  <si>
    <t>Zdroj: https://imhd.sk/ba/doc/sk/10201/Prevadzkove-udaje-MHD-v-Bratislave.html#pr8</t>
  </si>
  <si>
    <t>Tržby/cestujúci</t>
  </si>
  <si>
    <t>Zdroj: https://imhd.sk/ba/doc/sk/10201/Prevadzkove-udaje-MHD-v-Bratislave.html</t>
  </si>
  <si>
    <t>Pomocný výpočet priemerný podiel tržby/cestujúci.</t>
  </si>
  <si>
    <t>Priemer tržieb na 1 cestujúceho do roku 2019 (predcovidové roky) za mestá s dostupnými údajmi - tabuľka 5, bunky vyznačené modrou frabou.</t>
  </si>
  <si>
    <t>SMS</t>
  </si>
  <si>
    <t>Bčk</t>
  </si>
  <si>
    <t>Hotovosť /priehradka</t>
  </si>
  <si>
    <t>Maťka</t>
  </si>
  <si>
    <t>René</t>
  </si>
  <si>
    <t>Filip</t>
  </si>
  <si>
    <t xml:space="preserve">                                                                                             í</t>
  </si>
  <si>
    <r>
      <t xml:space="preserve">Maximálne potrebný počet zariadení -  </t>
    </r>
    <r>
      <rPr>
        <b/>
        <sz val="8"/>
        <color rgb="FFFF0000"/>
        <rFont val="Calibri"/>
        <family val="2"/>
        <charset val="238"/>
        <scheme val="minor"/>
      </rPr>
      <t>projekcia</t>
    </r>
  </si>
  <si>
    <t>Zdroj a poznamky</t>
  </si>
  <si>
    <t>Tržby v mestách s dopravným podnikom</t>
  </si>
  <si>
    <t>tržby MHD</t>
  </si>
  <si>
    <t>https://imhd.sk/ba/doc/sk/10201/Prevadzkove-udaje-MHD-v-Bratislave.html#pr8</t>
  </si>
  <si>
    <t>tržby z dopravnej činnosti celkom</t>
  </si>
  <si>
    <t>Výročné správy | Dopravný podnik mesta Košice (dpmk.sk)</t>
  </si>
  <si>
    <t>tržby z MHD</t>
  </si>
  <si>
    <t>https://www.dpmz.sk/vyrocne-spravy/</t>
  </si>
  <si>
    <t>nie je dostupné za celé obdobie</t>
  </si>
  <si>
    <t>nie je dostupné, kombinácia dopravného podniku a SAD Zvolen</t>
  </si>
  <si>
    <t>Pomocný výpočet trend vývoja tržieb</t>
  </si>
  <si>
    <t>Tržby v mestách s dopravným podnikom medziročný percentuálny rozdiel</t>
  </si>
  <si>
    <t>Priemer medziročného vývoja tržieb z MHD za mestá v tabuľke 7 za roky 2016-2019.</t>
  </si>
  <si>
    <t>kontrolný výpočet</t>
  </si>
  <si>
    <t xml:space="preserve">Priemerná obsadenosť vozidla IAD v SR </t>
  </si>
  <si>
    <t>Metodická príručka k tvorbe analýz nákladov a prínosov (CBA) v rámci predkladania investičných projektov v oblasti dopravy pre programové obdobie 2014-2020, tab. 21</t>
  </si>
  <si>
    <t>rozdiel oproti predchádzajúcemu roku</t>
  </si>
  <si>
    <t>rozdiel oproti predchádzajúcemu roku v %</t>
  </si>
  <si>
    <t>IAD, SR - výkony</t>
  </si>
  <si>
    <t>Podiel EV vozidiel na cestách v SK - prognóza</t>
  </si>
  <si>
    <t>služobné cesty</t>
  </si>
  <si>
    <t>dochádzanie do práce</t>
  </si>
  <si>
    <t>súkromné cesty</t>
  </si>
  <si>
    <t>Metodická príručka k tvorbe analýz nákladov a prínosov (CBA) v rámci predkladania investičných projektov v oblasti dopravy pre programové obdobie 2014-2020, tab. 22</t>
  </si>
  <si>
    <t>Metodická príručka k tvorbe analýz nákladov a prínosov (CBA) v rámci predkladania investičných projektov v oblasti dopravy pre programové obdobie 2014-2020, tab. 23</t>
  </si>
  <si>
    <t>Metodická príručka k tvorbe analýz nákladov a prínosov (CBA) v rámci predkladania investičných projektov v oblasti dopravy pre programové obdobie 2014-2020, tab. 24</t>
  </si>
  <si>
    <t>Rozdelenie cestovania podľa účelu cesty</t>
  </si>
  <si>
    <t>Služobná cesta</t>
  </si>
  <si>
    <t>Dochádzanie 
do práce</t>
  </si>
  <si>
    <t>Iné (súkromné)</t>
  </si>
  <si>
    <t>Osobné autá (vrátane motocyklov)</t>
  </si>
  <si>
    <t>Autobusy</t>
  </si>
  <si>
    <t>Mestská hromadná doprava</t>
  </si>
  <si>
    <t>€2021- € per sec</t>
  </si>
  <si>
    <t>Počet cestujúcich (železnice)</t>
  </si>
  <si>
    <t>PAD - integrované kraje (BBSK, BSK, ZSK)</t>
  </si>
  <si>
    <t>Počet priemerne najazdených km na 1 osobu</t>
  </si>
  <si>
    <t>PAD - neintegrované kraje (mimo BBSK, BSK, ZSK)</t>
  </si>
  <si>
    <t>MHD - integrované kraje (BBSK, BSK, ZSK)</t>
  </si>
  <si>
    <t>MHD - neintegrované kraje (mimo BBSK, BSK, ZSK)</t>
  </si>
  <si>
    <t xml:space="preserve">kraje s integrovanou dopravou </t>
  </si>
  <si>
    <t>kraje s neintegrovanou dopravou</t>
  </si>
  <si>
    <t>Rozdelenie MHD (podľa počtu obyvateľov) medzi:</t>
  </si>
  <si>
    <r>
      <t xml:space="preserve">Odhad aktuálneho počtu zariadení -  </t>
    </r>
    <r>
      <rPr>
        <b/>
        <sz val="8"/>
        <color rgb="FFFF0000"/>
        <rFont val="Calibri"/>
        <family val="2"/>
        <charset val="238"/>
        <scheme val="minor"/>
      </rPr>
      <t>projekcia</t>
    </r>
  </si>
  <si>
    <t>Rozdiel celkovej hodnoty a hodnoty z prieskumu</t>
  </si>
  <si>
    <t>Potrebná investícia (maximálna potreba -odhad aktuálneho stavu)</t>
  </si>
  <si>
    <t>Odhadovaný počet zariadení</t>
  </si>
  <si>
    <t>ŠÚ</t>
  </si>
  <si>
    <t>https://datacube.statistics.sk/#!/view/sk/VBD_DEM/om7012rr/v_om7012rr_00_00_00_sk</t>
  </si>
  <si>
    <t>Pomer</t>
  </si>
  <si>
    <t>Integrované kraje</t>
  </si>
  <si>
    <t>Neintegrované kraje</t>
  </si>
  <si>
    <t>Počet cestujúcich (PAD - integrované kraje)</t>
  </si>
  <si>
    <t>Počet cestujúcich (PAD- neintegrované kraje)</t>
  </si>
  <si>
    <t>Počet cestujúcich (MHD - integrované kraje)</t>
  </si>
  <si>
    <t>Počet cestujúcich (MHD - neintegrované kraje)</t>
  </si>
  <si>
    <t>Priemerná cena lístka (PAD - integrované kraje)</t>
  </si>
  <si>
    <t>Priemerná cena lístka (PAD - neintegrované kraje)</t>
  </si>
  <si>
    <t>Priemerná cena lístka (železnice)</t>
  </si>
  <si>
    <t>Tržby (PAD - integrované kraje)</t>
  </si>
  <si>
    <t>Tržby (PAD - neintegrované kraje)</t>
  </si>
  <si>
    <t>Tržby  (MHD - integrované kraje)</t>
  </si>
  <si>
    <t>Tržby  (železnice)</t>
  </si>
  <si>
    <t>Tržby  (MHD - neintegrované kraje)</t>
  </si>
  <si>
    <t>Počet cestujúcich - spolu</t>
  </si>
  <si>
    <t>Tržby - spolu</t>
  </si>
  <si>
    <t>Náklady nehodovosti (IAD)</t>
  </si>
  <si>
    <t>Náklady nehodovosti - spolu</t>
  </si>
  <si>
    <t>Priemerná dĺžka jazdy (PAD - integrované kraje) v km</t>
  </si>
  <si>
    <t>Priemerná dĺžka jazdy (PAD - neintegrované kraje) v km</t>
  </si>
  <si>
    <t>Priemerná dĺžka jazdy (železnice) v km</t>
  </si>
  <si>
    <t>Výkon (PAD - integrované kraje) v oskm</t>
  </si>
  <si>
    <t>Výkon (PAD- neintegrované kraje) v oskm</t>
  </si>
  <si>
    <t>Výkon (MHD - integrované kraje) v oskm</t>
  </si>
  <si>
    <t>Výkon (MHD - neintegrované kraje) v oskm</t>
  </si>
  <si>
    <t>Výkon (železnice) v oskm</t>
  </si>
  <si>
    <t>Výkon VOD - spolu v oskm</t>
  </si>
  <si>
    <t>Výkon IAD v oskm</t>
  </si>
  <si>
    <t>Náklady znečistenia ovzdušia (PAD, MHD)</t>
  </si>
  <si>
    <t>Náklady nehodovosti (PAD, MHD)</t>
  </si>
  <si>
    <t>Náklady znečistenia ovzdušia (IAD)</t>
  </si>
  <si>
    <t>Náklady hlučnosti  (PAD, MHD)</t>
  </si>
  <si>
    <t>Náklady hlučnosti  (IAD)</t>
  </si>
  <si>
    <t>Náklady znečistenia ovzdušia - spolu</t>
  </si>
  <si>
    <t>Náklady hlučnosti  - spolu</t>
  </si>
  <si>
    <t>Náklady vypúšťania skleníkových plynov (PAD, MHD)</t>
  </si>
  <si>
    <t>Náklady vypúšťania skleníkových plynov (IAD)</t>
  </si>
  <si>
    <t>Náklady vypúšťania skleníkových plynov - spolu</t>
  </si>
  <si>
    <t>Cena času vybavenia cestujúcich (PAD, MHD - neintegrované kraje)</t>
  </si>
  <si>
    <t>Čas vybavenia cestujúcich (PAD - neintegrované kraje) v sek</t>
  </si>
  <si>
    <t>Čas vybavenia cestujúcich (MHD - neintegrované kraje) v sek</t>
  </si>
  <si>
    <t>ZSSK ICL</t>
  </si>
  <si>
    <t>Sieťový / agregovaný lístok</t>
  </si>
  <si>
    <t>ZSSK súčasnosť priemer</t>
  </si>
  <si>
    <t>ušetrený čas</t>
  </si>
  <si>
    <t>Počet cestujúcich (PAD - integrované kraje) v %</t>
  </si>
  <si>
    <t>Počet cestujúcich (PAD- neintegrované kraje)  v %</t>
  </si>
  <si>
    <t>Počet cestujúcich (MHD - integrované kraje) v %</t>
  </si>
  <si>
    <t>Počet cestujúcich (MHD - neintegrované kraje) v %</t>
  </si>
  <si>
    <t>Počet cestujúcich (železnice) v %</t>
  </si>
  <si>
    <t xml:space="preserve">Modal split </t>
  </si>
  <si>
    <t>Priemerný počet jázd u konvertovaných osôb</t>
  </si>
  <si>
    <t>Cestovanie inak ako denne = viackrát týždenne</t>
  </si>
  <si>
    <t>počet jázd ročne</t>
  </si>
  <si>
    <t>počet cestovania ročne</t>
  </si>
  <si>
    <t>Cestovanie raz týždenne</t>
  </si>
  <si>
    <t>Priemerná dĺžka jazdy IAD v km</t>
  </si>
  <si>
    <t>Prieskum 2 muse</t>
  </si>
  <si>
    <t>km</t>
  </si>
  <si>
    <t>sekundy</t>
  </si>
  <si>
    <t>Počet osôb, ktoré kombinujú viac cestovných lístkov ( jednorázové lístky)</t>
  </si>
  <si>
    <t>Tržby  (MHD)</t>
  </si>
  <si>
    <t>Variant A Podieľ spaľovacích motorov v IAD</t>
  </si>
  <si>
    <t>Náklady nehodovosti Spolu</t>
  </si>
  <si>
    <t>Náklady znečistenia ovzdušia Spolu</t>
  </si>
  <si>
    <t>Náklady hlučnosti Spolu</t>
  </si>
  <si>
    <t>Náklady objemu skleníkových plynov Spolu</t>
  </si>
  <si>
    <t>Minimálny čas nákupu, kombinovaného lístka, 54% osôb ktoré takéto lístky kupujú</t>
  </si>
  <si>
    <t>Nákup kombinovaného lístka v ICL variant A, B</t>
  </si>
  <si>
    <t>Nákup kombinovaného lístka v ICL variant C</t>
  </si>
  <si>
    <t>https://www.topky.sk/cl/10/2694225/V-osobnej-doprave-sa-v-roku-2023-prepravilo-medzirocne-o-12-6---viac-osob</t>
  </si>
  <si>
    <t>Pomer výkonov</t>
  </si>
  <si>
    <t>MHD - spolu</t>
  </si>
  <si>
    <t>Pomer vozového parku EV (IAD, busy)</t>
  </si>
  <si>
    <t>Pomer vozového parku uhľovodíkové pohony (IAD, busy)</t>
  </si>
  <si>
    <t>PAD - spolu</t>
  </si>
  <si>
    <t>Železnice</t>
  </si>
  <si>
    <t>Výkony celkovo</t>
  </si>
  <si>
    <t>Pomer výkonov mimo železníc</t>
  </si>
  <si>
    <t>Podiel VOD na celkových jazdách u konvertovaných osôb</t>
  </si>
  <si>
    <t>Odhadovaný počet cestovaní za rok</t>
  </si>
  <si>
    <t>Odhadovaný počet jázd za rok na užívateľa</t>
  </si>
  <si>
    <t>Priemerný počet jázd 1 užívateľa za rok</t>
  </si>
  <si>
    <t>Podiel VOD na celkových jazdách u konvertovaného užívateľa IAD</t>
  </si>
  <si>
    <t>Podiel užívateľov (váha)</t>
  </si>
  <si>
    <t>Priemerný dĺžka jazdy u užívateľa IAD pripraveného na konverziu</t>
  </si>
  <si>
    <t>Priemerný počet jázd do roka u užívateľa IAD pripraveného na konverziu</t>
  </si>
  <si>
    <t>Odhadovaná dĺžka cesty v km</t>
  </si>
  <si>
    <t>Podiel užívateľov v %</t>
  </si>
  <si>
    <t xml:space="preserve">Podiel užívateľov v % </t>
  </si>
  <si>
    <t>Priemerná dĺžka jazdy užívateľa v km</t>
  </si>
  <si>
    <t>Počet cestujúcich celkovo</t>
  </si>
  <si>
    <t>Pomer cestujúcich mimo železníc</t>
  </si>
  <si>
    <t>Zdroj a poznámky</t>
  </si>
  <si>
    <t>Riadok 6 je vstup pre výpočet benefitov.
Za roky 2015 - 2023: Počet cestujúcich v SR x priemerný podiel tržby/cestujúci z bunky C118.
Roky 2024-2033 sú naprojektované na základe priemerného medziročného vývoja tržieb vo vybraných mestách v predcovidových rokov za posledných 10 rokov (viď tabuľka 7 a bunka C136).</t>
  </si>
  <si>
    <t>Ridok 6 je vstup pre výpočet benefitov.
Zdroj údajov pre SR do roku 2022 je z hárku DM_01 ( Súhrnné ukazovatele za dopravu [do1003rs] - DATAcube. (statistics.sk) ). Rok 2023 je vypočítaný na základe priemerného medziročného rastu cestujúcich v roku 2023 oproti roku 2022 z miest, za ktoré máme reálne údaje od prevádzkovateľov (Bardejov, Považská Bystrica, Trnava, Zvolen, Žilina).
Predpokladáme, že zotavenie z poklesu v rámci pandemických rokov kulminuje v roku 2023 a od roku 2024 sa obnoví trend z predcovidových rokov - vypočítaný ako priemer percentuálnych medziročných rozdielov za 10 predcovidových rokov na úrovni celej SR, t.j. 2010-2019  (bunka C76).</t>
  </si>
  <si>
    <t>Pomery cestujúcich</t>
  </si>
  <si>
    <t>Podiel osôb, ktorým ICL bude šetriť čas pri nákupe viacerých lístkov (konzervatívny odhad)</t>
  </si>
  <si>
    <t>Variant A RENÉ - modal split</t>
  </si>
  <si>
    <t>Priemerný počet jázd IAD+VOD u konvertovaných osôb</t>
  </si>
  <si>
    <t>Počet jázd VOD u konvertovaného užívateľa IAD ročne</t>
  </si>
  <si>
    <t xml:space="preserve">Distribúcia jázd VOD u konvertovaných užívateľov IAD </t>
  </si>
  <si>
    <t>Distribúcia jázd VOD u konvertovaných užívateľov IAD mimo železníc</t>
  </si>
  <si>
    <t>Počet nových jázd (cestujúcich)</t>
  </si>
  <si>
    <t xml:space="preserve">Distribúcia výkonov VOD u konvertovaných užívateľov IAD </t>
  </si>
  <si>
    <t>Distribúcia výkonov VOD u konvertovaných užívateľov IAD mimo železníc</t>
  </si>
  <si>
    <t>Nové výkony VOD</t>
  </si>
  <si>
    <t>Benefit - rozdiel oproti V0</t>
  </si>
  <si>
    <t>Nákup kombinovaného lístka v ICL variant C PayG</t>
  </si>
  <si>
    <t>Nákup kombinovaného lístka v ICL variant A, B PayG</t>
  </si>
  <si>
    <t>Ušetrený čas cestujúcich - nákup lístkov</t>
  </si>
  <si>
    <t>NB6</t>
  </si>
  <si>
    <t>Znížené znečistenie ovzdušia</t>
  </si>
  <si>
    <t>Cestujúci</t>
  </si>
  <si>
    <t>Počet cestujúcich (PAD - integrované kraje) - modal split</t>
  </si>
  <si>
    <t>Počet cestujúcich (PAD- neintegrované kraje) - modal split</t>
  </si>
  <si>
    <t>Počet cestujúcich (MHD - integrované kraje) - modal split</t>
  </si>
  <si>
    <t>Počet cestujúcich (MHD - neintegrované kraje) - modal split</t>
  </si>
  <si>
    <t>Počet cestujúcich (železnice) - modal split</t>
  </si>
  <si>
    <t>Počet cestujúcich - spolu - modal split</t>
  </si>
  <si>
    <t>Výkon (PAD - integrované kraje) v oskm - modal split</t>
  </si>
  <si>
    <t>Výkon (MHD - neintegrované kraje) v oskm - modal split</t>
  </si>
  <si>
    <t>Výkon (železnice) v oskm - modal split</t>
  </si>
  <si>
    <t>Výkon VOD - spolu v oskm - modal split</t>
  </si>
  <si>
    <t>Výkon IAD v oskm - modal split</t>
  </si>
  <si>
    <t>Výkon (PAD- neintegrované kraje) v oskm - modal split</t>
  </si>
  <si>
    <t>Výkon (MHD - integrované kraje) v oskm - modal split</t>
  </si>
  <si>
    <t>Priemerná dĺžka jazdy (PAD - integrované kraje) v %</t>
  </si>
  <si>
    <t>Priemerná dĺžka jazdy (PAD - neintegrované kraje) v %</t>
  </si>
  <si>
    <t>Priemerná dĺžka jazdy (železnice) v %</t>
  </si>
  <si>
    <t>Priemerná dĺžka jazdy (MHD - integrované kraje) v km</t>
  </si>
  <si>
    <t>Priemerná dĺžka jazdy (MHD - neintegrované kraje) v km</t>
  </si>
  <si>
    <t>Priemerná dĺžka jazdy (MHD - integrované kraje) v %</t>
  </si>
  <si>
    <t>Priemerná dĺžka jazdy (MHD - neintegrované kraje) v %</t>
  </si>
  <si>
    <t>Variant B RENÉ - modal split</t>
  </si>
  <si>
    <t>Nárast využívania služby René</t>
  </si>
  <si>
    <t>Priemerná cena lístka (MHD- integrované kraje)</t>
  </si>
  <si>
    <t>Priemerná cena lístka (MHD - neintegrované kraje)</t>
  </si>
  <si>
    <t>potrebné upraviť podľa skutočnosti</t>
  </si>
  <si>
    <t>to čo je inštalované vo vozidlách</t>
  </si>
  <si>
    <t>ICL sieťový lístok / PAYG</t>
  </si>
  <si>
    <t>Nosič: PLATOBNÁ BČK (EMV)</t>
  </si>
  <si>
    <t>TAP/QR</t>
  </si>
  <si>
    <t>Zníženie objemu skleníkových plynov</t>
  </si>
  <si>
    <t>Zatraktívnenie turizmu</t>
  </si>
  <si>
    <t xml:space="preserve">ICL lístok </t>
  </si>
  <si>
    <t>ICL Pay as you Go (PAYG)</t>
  </si>
  <si>
    <t>ICL PAYG</t>
  </si>
  <si>
    <t>DBČK (Dopravná karta)</t>
  </si>
  <si>
    <t>PBČK (EMV)</t>
  </si>
  <si>
    <t>DBČK</t>
  </si>
  <si>
    <t>PBČK</t>
  </si>
  <si>
    <t>áno (DBČK, PBČK, hotovosť)</t>
  </si>
  <si>
    <t>áno (DBČK, PBČK)</t>
  </si>
  <si>
    <t>prevod</t>
  </si>
  <si>
    <t>platobná brána</t>
  </si>
  <si>
    <t>Mobil</t>
  </si>
  <si>
    <t>áno (DBČK, PBČK, prevod, brána, hotovosť)</t>
  </si>
  <si>
    <t>áno (DBČK, PBČK, prevod, brána)</t>
  </si>
  <si>
    <t>Vo vozidle RAD</t>
  </si>
  <si>
    <t>Appl. START alebo TAP / TAP DBČK</t>
  </si>
  <si>
    <t>Appl. STOP alebo TAP / TAP DBČK</t>
  </si>
  <si>
    <t>Appl. TAP / TAP DBČK</t>
  </si>
  <si>
    <t>Na vstupe do RAD</t>
  </si>
  <si>
    <t>Na výstupe z RAD</t>
  </si>
  <si>
    <t>Appl. TAP alebo QR / TAP DBČK / TAP PBČK</t>
  </si>
  <si>
    <t>Appl. START alebo TAP alebo QR / TAP DBČK / TAP PBČK</t>
  </si>
  <si>
    <t>mobil: START/STOP, NFC, BT
vozidlá: NFC, BT</t>
  </si>
  <si>
    <t>mobil: START/STOP, NFC, BT, QR
vozidlá: NFC, BT, QR</t>
  </si>
  <si>
    <t>Integrácia primárne s podporou aplikácie a doplnkovým využitím DBČK</t>
  </si>
  <si>
    <t>Integrácia primárne s podporou aplikácie a doplnkovým využitím DBČK, PBČK, QR</t>
  </si>
  <si>
    <t>Plánovač</t>
  </si>
  <si>
    <t>cestovanie podľa plánu so zakúpením lístka vopred</t>
  </si>
  <si>
    <t>cestovanie podľa potreby bez zakúpenia lístka vopred, so zaplateným kreditom (capping)</t>
  </si>
  <si>
    <t>TAP
QR</t>
  </si>
  <si>
    <t>ŠTART
TAP</t>
  </si>
  <si>
    <t>STOP
TAP</t>
  </si>
  <si>
    <t>ŠTART
TAP
QR</t>
  </si>
  <si>
    <t>Nosič: DOPRAVNÁ BČK (DBČK)</t>
  </si>
  <si>
    <t>Nosič: Mobil (aplikácia)</t>
  </si>
  <si>
    <t>ŠTART</t>
  </si>
  <si>
    <t>STOP</t>
  </si>
  <si>
    <t>manuálny úkon na mobilnej aplikácii pre označenie ukončenia úseku cesty</t>
  </si>
  <si>
    <t>manuálny úkon na mobilnej aplikácii pre označenie zahájenia úseku cesty</t>
  </si>
  <si>
    <t>priloženie bezkontakného nosiča použitím technológie NFC / mobil, DBČK, PBČK</t>
  </si>
  <si>
    <t>výstup *)</t>
  </si>
  <si>
    <t>*)</t>
  </si>
  <si>
    <t>povinnosť označiť ukončenie úseku cesty bez súbežného použitia mobilnej aplikácie</t>
  </si>
  <si>
    <t>nástupište</t>
  </si>
  <si>
    <t>poloha vozidla</t>
  </si>
  <si>
    <t>komunikácia dát</t>
  </si>
  <si>
    <t>poloha nástupišťa</t>
  </si>
  <si>
    <t>NFC reader</t>
  </si>
  <si>
    <t>validácia</t>
  </si>
  <si>
    <t>nákup, validácia</t>
  </si>
  <si>
    <t>AFC</t>
  </si>
  <si>
    <t>AFC / FAC</t>
  </si>
  <si>
    <t>EMV POS</t>
  </si>
  <si>
    <t>FAC</t>
  </si>
  <si>
    <t>Čitačka QR kódu z akéhokoľvek nosiča</t>
  </si>
  <si>
    <t>Frictinless Access Control v súčinnosti s mobilnou aplikáciou ICL</t>
  </si>
  <si>
    <t>Automated Fare Collection v súčinnosti s mobilnou aplikáciou ICL</t>
  </si>
  <si>
    <t>štandardná súčasť infraštruktúry vozidla/nástupišťa - môže byť vynúteným nákladom vlastníka infraštuktúry alebo ICL</t>
  </si>
  <si>
    <t>Zariadenie revízora alebo sprievodcu</t>
  </si>
  <si>
    <t>EMV Point of Sale - platobný NFC terminál pre akýkoľvek nosič</t>
  </si>
  <si>
    <t>Čitačka dopravnej bezkontaktnej karty</t>
  </si>
  <si>
    <t>technológia lokalizácie</t>
  </si>
  <si>
    <t>Model 1</t>
  </si>
  <si>
    <t>technológia komunikácie na krátke vzdialenosti</t>
  </si>
  <si>
    <t>technológia komunikácie na stredné vzdialenosti</t>
  </si>
  <si>
    <t>Rene</t>
  </si>
  <si>
    <r>
      <t xml:space="preserve">POUŽITÉ TECHNOLÓGIE
</t>
    </r>
    <r>
      <rPr>
        <sz val="9"/>
        <color rgb="FFFF0000"/>
        <rFont val="Calibri"/>
        <family val="2"/>
        <charset val="238"/>
        <scheme val="minor"/>
      </rPr>
      <t>WIFI a GPS vo vozidlách sú predpokladom štandardnej inštalácie</t>
    </r>
  </si>
  <si>
    <t>Model 2</t>
  </si>
  <si>
    <t>Variant C RENÉ - modal split</t>
  </si>
  <si>
    <t>Variant B Podieľ spaľovacích motorov v IAD</t>
  </si>
  <si>
    <t>Variant C Podieľ spaľovacích motorov v IAD</t>
  </si>
  <si>
    <t>Počet staníc</t>
  </si>
  <si>
    <t>Nárast využívania služby Model 2</t>
  </si>
  <si>
    <t>Jednoduchšie cestovanie</t>
  </si>
  <si>
    <t>Flexibilnejšie cestovanie</t>
  </si>
  <si>
    <t>Kvalitnejšie cestovanie</t>
  </si>
  <si>
    <t>Adresnejšie služby</t>
  </si>
  <si>
    <t>Nižšie prevádzkové náklady</t>
  </si>
  <si>
    <t>Nižšie administratívne náklady</t>
  </si>
  <si>
    <t>Nižšie náklady na údržbu ciest</t>
  </si>
  <si>
    <t>Menej podvodov</t>
  </si>
  <si>
    <t>Objednávateľ</t>
  </si>
  <si>
    <t>B7</t>
  </si>
  <si>
    <t>NB7</t>
  </si>
  <si>
    <t>NB8</t>
  </si>
  <si>
    <t>NB9</t>
  </si>
  <si>
    <t>NB10</t>
  </si>
  <si>
    <t>NB11</t>
  </si>
  <si>
    <t>Rýchlejšie cestovanie</t>
  </si>
  <si>
    <t>NB12</t>
  </si>
  <si>
    <t>Zariadenia vo vozidlách</t>
  </si>
  <si>
    <t>CL na jednu cestu</t>
  </si>
  <si>
    <t>bezkontaktná čipová karta</t>
  </si>
  <si>
    <t>Kartuj (EMV karta) *</t>
  </si>
  <si>
    <t>aplikácia IDS BK</t>
  </si>
  <si>
    <t>papier</t>
  </si>
  <si>
    <t>* predaj začal v 07/2021</t>
  </si>
  <si>
    <t>predplatné cestovné lístky (bez SeniorPasov)</t>
  </si>
  <si>
    <t>mobilná aplikácia *</t>
  </si>
  <si>
    <t>EMV karta</t>
  </si>
  <si>
    <t>* predaj bol spustený v 11/2021</t>
  </si>
  <si>
    <t>Predajný automat</t>
  </si>
  <si>
    <t>papierový CL</t>
  </si>
  <si>
    <t>Multifunkčný predajný automat</t>
  </si>
  <si>
    <t>Predajňa</t>
  </si>
  <si>
    <t>Provízny predaj</t>
  </si>
  <si>
    <t>Elektronické CL</t>
  </si>
  <si>
    <t>Slovak Lines / ARRIVA Mobility Solutions</t>
  </si>
  <si>
    <t>Papierové CL</t>
  </si>
  <si>
    <t>BID</t>
  </si>
  <si>
    <t>Označovač cestovných lístkov</t>
  </si>
  <si>
    <t>Mobilná aplikácia</t>
  </si>
  <si>
    <t>Packing</t>
  </si>
  <si>
    <t>špeciálna forma</t>
  </si>
  <si>
    <t>RegioJet / Leo Expres</t>
  </si>
  <si>
    <t>V regionálnej autobusovej doprave prišlo k 15.11.2021 k zmene dopravcu zo Slovak Lines na ARRIVA Mobility Solutions.</t>
  </si>
  <si>
    <t>Na železničnej trati 131 zabezpečoval dopravu do 10.12.2020 Regiojet, od 10.12.2023 tam jazdí Leo Expres. Medzi tým tam jazdila ZSSK.</t>
  </si>
  <si>
    <t>Prevádzka multifukčných automatov DPB bola v roku 2022 ukončená.</t>
  </si>
  <si>
    <t>BSK spolu</t>
  </si>
  <si>
    <t>sobota</t>
  </si>
  <si>
    <t>utorok/streda</t>
  </si>
  <si>
    <t>spolu</t>
  </si>
  <si>
    <t>čas</t>
  </si>
  <si>
    <t>priemer</t>
  </si>
  <si>
    <t>vybavenie</t>
  </si>
  <si>
    <t>TTSK spolu</t>
  </si>
  <si>
    <t>BSK &amp; TTSK spolu</t>
  </si>
  <si>
    <t>Lepšie výkony</t>
  </si>
  <si>
    <t>NB13</t>
  </si>
  <si>
    <t>NB14</t>
  </si>
  <si>
    <t>všetky</t>
  </si>
  <si>
    <t>Vyššia miera interoperability</t>
  </si>
  <si>
    <t>Kvantifikované benefity:</t>
  </si>
  <si>
    <t>Nekvantifikované benefity:</t>
  </si>
  <si>
    <t>Nižšie a efektívnejšie marketingové náklady</t>
  </si>
  <si>
    <t>xx</t>
  </si>
  <si>
    <t>xxx</t>
  </si>
  <si>
    <t>Lepšia dostupnosť a kvalita dát</t>
  </si>
  <si>
    <t>Organizátor</t>
  </si>
  <si>
    <t>Variant A - modal split OAD/VOD konzervatívny odhad</t>
  </si>
  <si>
    <t>Variant B - modal split OAD/VOD konzervatívny odhad</t>
  </si>
  <si>
    <t>Variant C - modal split OAD/VOD konzervatívny odhad</t>
  </si>
  <si>
    <t>Počet unikátnych cestujúcich, ktorí prešli z OAD v kraji (denne)</t>
  </si>
  <si>
    <t>Počet unikátnych cestujúcich, ktorí prešli z OAD v kraji (nie denne)</t>
  </si>
  <si>
    <t>Počet unikátnych cestujúcich, ktorí prešli z OAD medzi krajmi (denne)</t>
  </si>
  <si>
    <t>Počet unikátnych cestujúcich, ktorí prešli z OAD medzi krajmi (nie denne)</t>
  </si>
  <si>
    <t>Počet cestujúcich (PAD - integrované kraje), ktorí prešli z OAD</t>
  </si>
  <si>
    <t>Počet cestujúcich (PAD- neintegrované kraje) , ktorí prešli z OAD</t>
  </si>
  <si>
    <t>Počet cestujúcich (MHD - integrované kraje), ktorí prešli z OAD</t>
  </si>
  <si>
    <t>Počet cestujúcich (MHD - neintegrované kraje), ktorí prešli z OAD</t>
  </si>
  <si>
    <t>Počet cestujúcich (železnice), ktorí prešli z OAD</t>
  </si>
  <si>
    <t>Počet cestujúcich, ktorí prešli z OAD spolu</t>
  </si>
  <si>
    <t>Variant B - modal split OAD/VOD nárast VOD</t>
  </si>
  <si>
    <t>Variant C - modal split OAD/VOD náras VOD</t>
  </si>
  <si>
    <t>Variant A - modal split OAD/VOD nárast VOD</t>
  </si>
  <si>
    <t>Variant C - modal split OAD/VOD nárast VOD</t>
  </si>
  <si>
    <t>Rozdiel oproti V0</t>
  </si>
  <si>
    <t>Počet nových unikátnych cestujúcich IAD</t>
  </si>
  <si>
    <t>KM</t>
  </si>
  <si>
    <t>Dopočítať</t>
  </si>
  <si>
    <t>Počet cestujúcich unikátných ICL</t>
  </si>
  <si>
    <t>Počet lístkov ICL konzervatívny odhad</t>
  </si>
  <si>
    <t>?</t>
  </si>
  <si>
    <t>Čas vybavenia cestujúceho pri nástupe (MHD, PAD - integrované)</t>
  </si>
  <si>
    <t>Čas nákupu kombinovaného lístka 1-3 minúty podiel cestujúcich %</t>
  </si>
  <si>
    <t>Čas nákupu kombinovaného lístka 4-6 minúty podiel cestujúcich %</t>
  </si>
  <si>
    <t>Čas nakúpu kombinovaného lístka 7-15 minúty podiel cestujúcich %</t>
  </si>
  <si>
    <t>Čas nákupu kombinovaného lístka 16-30 minút podiel cestujúcich %</t>
  </si>
  <si>
    <t>Cestujúci s kombinovanými jednorázovými lístkami %</t>
  </si>
  <si>
    <t>Počet cestujúcich nakupujúcich kombinovaný lístok  1-3 minúty (120 sekúnd)</t>
  </si>
  <si>
    <t>Počet cestujúcich nakupujúcich kombinovaný lístok 4-6 minúty (300 sekúnd)</t>
  </si>
  <si>
    <t>Počet cestujúcich nakupujúcich kombinovaný lístok  7-15 minúty (660 sekúnd)</t>
  </si>
  <si>
    <t>Počet cestujúcich nakupujúcich kombinovaný lístok 16-30 minút (1380 sekúnd)</t>
  </si>
  <si>
    <t>Cena ušetreného času cestujúcich - nákup lístka</t>
  </si>
  <si>
    <t>Čas spolu strávený nákupupom kombinovaných lístkov</t>
  </si>
  <si>
    <t>Počet zariadení / celkom [ks]</t>
  </si>
  <si>
    <t>Počet zariadení / vozidlo  [%]</t>
  </si>
  <si>
    <t>Počet zariadení
/stanica [ks]</t>
  </si>
  <si>
    <t>Priemerný počet jázd VOD</t>
  </si>
  <si>
    <t>Investičné náklady</t>
  </si>
  <si>
    <t>Prevádzkové náklady</t>
  </si>
  <si>
    <t>N5 Mzdové náklady</t>
  </si>
  <si>
    <t>N7 Komunikačná kampaň</t>
  </si>
  <si>
    <t>Centrálne komponenty prieskum</t>
  </si>
  <si>
    <t>Cena bez DPH/ks</t>
  </si>
  <si>
    <t>Cena bez DPH spolu</t>
  </si>
  <si>
    <t>Poznámka</t>
  </si>
  <si>
    <t>Dátová integrácia + Backoffice - HW</t>
  </si>
  <si>
    <t>Dodávka serverov pre BO ICL</t>
  </si>
  <si>
    <t>HW maintenance</t>
  </si>
  <si>
    <t>paušál/rok</t>
  </si>
  <si>
    <t>Maintenance serverov v BO ICL</t>
  </si>
  <si>
    <t>Dátová integrácia + Backoffice SW infraštruktúra - licenice</t>
  </si>
  <si>
    <t>Licencie 3. strán – OS, SQL, WEB server, … pre BO ICL</t>
  </si>
  <si>
    <t>SW assurance</t>
  </si>
  <si>
    <t>Suvisiaci s infraštruktúrou – požadovaná dostupnosť 99.8%</t>
  </si>
  <si>
    <t>Dátová integrácia + Backoffice ICL - SW licencie</t>
  </si>
  <si>
    <t>Dodávka diela BO ICL (zúčtovanie cestovného/delba tržby, Admin BO, API, ABT) vrátane licencie</t>
  </si>
  <si>
    <t>SLA pre ICL SW</t>
  </si>
  <si>
    <t>paušál/mesiac</t>
  </si>
  <si>
    <t>Vrátane SLA pre web a SLA pre e-shop</t>
  </si>
  <si>
    <t>Telekomunikačné poplatky (validačné zariadenia ZSSK)</t>
  </si>
  <si>
    <t>paušál/5 rokov</t>
  </si>
  <si>
    <t>740*2.1-100 = 1454 (100 ks - existujúce zariadenia BID)
validačné zariadenia PAD a MHD komunikujú v rámci exitujúcej infraštruktúry a existujúcich poplatkov</t>
  </si>
  <si>
    <t>Bankové poplatky – e-shop</t>
  </si>
  <si>
    <t>0.05 cent + 1% za transakciu</t>
  </si>
  <si>
    <t>Bankové poplatky – tokenizácia (tapy)</t>
  </si>
  <si>
    <t>Pre variant C)</t>
  </si>
  <si>
    <t>Web + licencia (variant A)</t>
  </si>
  <si>
    <t>Dodávka diela e-shop + konto cestujúceho vrátane licencie (v zmysle požiadaviek na vládny web) + vyhľadávač spojenia (lístok zakúpený na konkrétnu trasu)</t>
  </si>
  <si>
    <t>Web + licencia (variant B)</t>
  </si>
  <si>
    <t>Dodávka diela e-shop + konto cestujúceho vrátane licencie (v zmysle požiadaviek na vládny web)</t>
  </si>
  <si>
    <t>Mobilná aplikácia ICL + licencia</t>
  </si>
  <si>
    <t>Dodávka diela vrátane licencie</t>
  </si>
  <si>
    <t>Validačné zariadenie - BT maják</t>
  </si>
  <si>
    <t>Pre variant B) a C)</t>
  </si>
  <si>
    <t>Validačné zariadenie - NFC Reader</t>
  </si>
  <si>
    <t xml:space="preserve">Počty podľa karty "Vstupy" </t>
  </si>
  <si>
    <t>Validačné zariadenie - NFC/QR/EMV Reader</t>
  </si>
  <si>
    <t>Počty podľa karty "Vstupy" - cenové navýšenie pre QR a pre EMV</t>
  </si>
  <si>
    <t>Dátová integrácia zariadení VOD - HW</t>
  </si>
  <si>
    <t xml:space="preserve">Náklady per dopravca a per typ zariadenia, počty podľa záložky "Vstupy" </t>
  </si>
  <si>
    <t>Dátová integrácia IS ICL - SVCS</t>
  </si>
  <si>
    <t>BO systém dopravcu - náklady per dopravca</t>
  </si>
  <si>
    <t>SLA pre zariadenia</t>
  </si>
  <si>
    <t xml:space="preserve">6835 zariadení, počty podľa záložky "Vstupy" </t>
  </si>
  <si>
    <t>RČ (Variant B)</t>
  </si>
  <si>
    <t xml:space="preserve">Čítačky pre revízorov HW+SW </t>
  </si>
  <si>
    <t>RČ (Variant C)</t>
  </si>
  <si>
    <t>Čítačky pre revízorov HW+SW</t>
  </si>
  <si>
    <t>SLA pre RČ (BC)</t>
  </si>
  <si>
    <t>SLA pre 100 zariadení</t>
  </si>
  <si>
    <t>Transdata</t>
  </si>
  <si>
    <t>Asseco</t>
  </si>
  <si>
    <t>Software assurance</t>
  </si>
  <si>
    <t>N1 Centrálne komponenty</t>
  </si>
  <si>
    <t>N2 Integrácie</t>
  </si>
  <si>
    <t>N3 Zariadenia</t>
  </si>
  <si>
    <t>N4 Prevádzka</t>
  </si>
  <si>
    <t>N6 Externé riadenia projektu</t>
  </si>
  <si>
    <t>Komunikačná kampaň</t>
  </si>
  <si>
    <t>Client</t>
  </si>
  <si>
    <t xml:space="preserve">KPMG a MD SR </t>
  </si>
  <si>
    <t>Campaign</t>
  </si>
  <si>
    <t>Brand Awareness</t>
  </si>
  <si>
    <t>TA</t>
  </si>
  <si>
    <t>SK 18+</t>
  </si>
  <si>
    <t>Version</t>
  </si>
  <si>
    <t>Start date</t>
  </si>
  <si>
    <t>1.x.202x</t>
  </si>
  <si>
    <t>End date</t>
  </si>
  <si>
    <t>31.y.202x</t>
  </si>
  <si>
    <t>Cost to Client</t>
  </si>
  <si>
    <t>Cost to Client incl.VAT</t>
  </si>
  <si>
    <t>Contact</t>
  </si>
  <si>
    <t>New School Communications</t>
  </si>
  <si>
    <t>Suplier</t>
  </si>
  <si>
    <t>Placement</t>
  </si>
  <si>
    <t>Targenting</t>
  </si>
  <si>
    <t>Format</t>
  </si>
  <si>
    <t>Resolution</t>
  </si>
  <si>
    <t>01/2X</t>
  </si>
  <si>
    <t>02/2X</t>
  </si>
  <si>
    <t>03/2X</t>
  </si>
  <si>
    <t>04/2X</t>
  </si>
  <si>
    <t>05/2X</t>
  </si>
  <si>
    <t>06/2X</t>
  </si>
  <si>
    <t>07/2X</t>
  </si>
  <si>
    <t>08/2X</t>
  </si>
  <si>
    <t>09/2X</t>
  </si>
  <si>
    <t>10/2X</t>
  </si>
  <si>
    <t>11/2X</t>
  </si>
  <si>
    <t>12/2X</t>
  </si>
  <si>
    <t>Cost to Client + VAT</t>
  </si>
  <si>
    <t>ATL</t>
  </si>
  <si>
    <t>TV</t>
  </si>
  <si>
    <t>JOJ MEDIA HOUSE + MARKÍZA</t>
  </si>
  <si>
    <t>video spot</t>
  </si>
  <si>
    <t>1920pxx1080px 30s</t>
  </si>
  <si>
    <t>Rádio</t>
  </si>
  <si>
    <t>Bauer Media / Rádio Group</t>
  </si>
  <si>
    <t>audio spot</t>
  </si>
  <si>
    <t>audio 30s</t>
  </si>
  <si>
    <t>Outdoor</t>
  </si>
  <si>
    <t>Citylights</t>
  </si>
  <si>
    <t>billboard</t>
  </si>
  <si>
    <t>TBD</t>
  </si>
  <si>
    <t>Transit Advertising</t>
  </si>
  <si>
    <t>Tlačové náklady pre marketingové materiály</t>
  </si>
  <si>
    <t>Print</t>
  </si>
  <si>
    <t>News and Media Holding + Petit Press</t>
  </si>
  <si>
    <t>banner</t>
  </si>
  <si>
    <t>Online</t>
  </si>
  <si>
    <t>Spotify</t>
  </si>
  <si>
    <t>AUDIO EVERYWHERE</t>
  </si>
  <si>
    <t>30s + banner 640px x 640px</t>
  </si>
  <si>
    <t>DV 360</t>
  </si>
  <si>
    <t>RTB</t>
  </si>
  <si>
    <t>300px x 250px - 970px x 250px - 336px x 280px - 728px x 90px - 300px x 600px  - 320px x 100px</t>
  </si>
  <si>
    <t>video</t>
  </si>
  <si>
    <t>1920x1080 - 1080x1080 | 20-30s</t>
  </si>
  <si>
    <t>Google</t>
  </si>
  <si>
    <t>Discovery</t>
  </si>
  <si>
    <t>responsive banner</t>
  </si>
  <si>
    <t>responsive | 1920x1080px - 1080x1080px - 1080x1920px +wording</t>
  </si>
  <si>
    <t>Search</t>
  </si>
  <si>
    <t>text ads</t>
  </si>
  <si>
    <t>15x headlines (30 znakov) + 4x description (90 znakov)</t>
  </si>
  <si>
    <t>Meta</t>
  </si>
  <si>
    <t>Facebook/Instagram</t>
  </si>
  <si>
    <t>video spot / banner</t>
  </si>
  <si>
    <t>1080x1080 | 1080x1920 | 1200x1500 + wording</t>
  </si>
  <si>
    <t>Other</t>
  </si>
  <si>
    <t>Influencers</t>
  </si>
  <si>
    <t>video/banner</t>
  </si>
  <si>
    <t>Milan Bez mapy, Travelhacker, Peter Popluhar, Tour de Svet, Martin Hanzel + Adela Vinceova</t>
  </si>
  <si>
    <t>Day by me</t>
  </si>
  <si>
    <t>post,story, reel</t>
  </si>
  <si>
    <t>Podcast</t>
  </si>
  <si>
    <t>ZAPO + Petit Press+DennikN</t>
  </si>
  <si>
    <t>paid</t>
  </si>
  <si>
    <t>native rozhovor</t>
  </si>
  <si>
    <t>native</t>
  </si>
  <si>
    <t>PR</t>
  </si>
  <si>
    <t>REF + SIU + Lifestyle</t>
  </si>
  <si>
    <t>article</t>
  </si>
  <si>
    <t>native / PR article</t>
  </si>
  <si>
    <t>Refresher</t>
  </si>
  <si>
    <t>speacial content</t>
  </si>
  <si>
    <t>special video content</t>
  </si>
  <si>
    <t>Engerio</t>
  </si>
  <si>
    <t>widget</t>
  </si>
  <si>
    <t>image 400x300 | headline 90znakov + description 125 znakov</t>
  </si>
  <si>
    <t>Ďalšie produkčné náklady</t>
  </si>
  <si>
    <t>TOTAL</t>
  </si>
  <si>
    <t>Mediálna agentúra v1</t>
  </si>
  <si>
    <t>Preferovaný variant</t>
  </si>
  <si>
    <t>Typ nákladov</t>
  </si>
  <si>
    <t>Sadzba/Náklady (EUR)</t>
  </si>
  <si>
    <t>Odhadované hodiny/Paušál (12 mesiacov)</t>
  </si>
  <si>
    <t>Celkové náklady (EUR)</t>
  </si>
  <si>
    <t>INTERNÝ TÍM - Koordinácia s Fullservis agentúrou</t>
  </si>
  <si>
    <t>Account Director </t>
  </si>
  <si>
    <t>Hodinová sadzba</t>
  </si>
  <si>
    <t>Project Coordinator</t>
  </si>
  <si>
    <t>Odhadovaný paušál</t>
  </si>
  <si>
    <t>Popis</t>
  </si>
  <si>
    <t>EXTERNÉ NÁKLADY FULLSERVIS AGENTÚRA</t>
  </si>
  <si>
    <t>Performance Manager</t>
  </si>
  <si>
    <t>Creative Director</t>
  </si>
  <si>
    <t>Graphic Designer</t>
  </si>
  <si>
    <t>Video Editor</t>
  </si>
  <si>
    <t>Social Media Specialist</t>
  </si>
  <si>
    <t>Copywriter</t>
  </si>
  <si>
    <t>Online Community Moderator</t>
  </si>
  <si>
    <t>EXTERNÉ NÁKLADY / JEDNOTKOVÁ CENA</t>
  </si>
  <si>
    <t>Web Development</t>
  </si>
  <si>
    <t>Projektové náklady</t>
  </si>
  <si>
    <t>Jednotková cena</t>
  </si>
  <si>
    <t>Tvorba webovej stránky</t>
  </si>
  <si>
    <t>Prieskumná agentúra</t>
  </si>
  <si>
    <t xml:space="preserve">Projektové náklady </t>
  </si>
  <si>
    <t>Kvalitatívny a kvantitatívny  prieskum**</t>
  </si>
  <si>
    <t>Video a zvuková Produkcia</t>
  </si>
  <si>
    <t>Produkcia televízneho spotu, zvuku a videí na sociálne siete</t>
  </si>
  <si>
    <t>Ceny sú uvedené bez DPH</t>
  </si>
  <si>
    <t>* Cena je orientačná, bude sa prispôsobovať zadaniu</t>
  </si>
  <si>
    <t>** Kvalitatívny prieskum Focus Groups pre naming, Kvantitatívny prieskum, ktorého výstupom bude vyhodnotenie KPI prvých fáz komunikácie</t>
  </si>
  <si>
    <t>Dátová integrácia + Backoffice SW infraštruktúra - licencie</t>
  </si>
  <si>
    <t>IDS a Dopravcovia</t>
  </si>
  <si>
    <t>Počet dopravcov</t>
  </si>
  <si>
    <t>Telekomunikačné poplatky</t>
  </si>
  <si>
    <t>Bankové poplatky</t>
  </si>
  <si>
    <t>Mediálna kampaň spolu</t>
  </si>
  <si>
    <t>Priemer bez DPH spolu</t>
  </si>
  <si>
    <t xml:space="preserve">SLA  Backoffice </t>
  </si>
  <si>
    <t>SLA Zariadenia</t>
  </si>
  <si>
    <t>SLA  Backoffice +web</t>
  </si>
  <si>
    <t>Kontrola</t>
  </si>
  <si>
    <r>
      <t xml:space="preserve">POO </t>
    </r>
    <r>
      <rPr>
        <b/>
        <sz val="8"/>
        <color theme="1"/>
        <rFont val="Calibri"/>
        <family val="2"/>
        <charset val="238"/>
        <scheme val="minor"/>
      </rPr>
      <t>(24-Q2/26)</t>
    </r>
  </si>
  <si>
    <r>
      <t xml:space="preserve">ŠR </t>
    </r>
    <r>
      <rPr>
        <b/>
        <sz val="8"/>
        <color theme="1"/>
        <rFont val="Calibri"/>
        <family val="2"/>
        <charset val="238"/>
        <scheme val="minor"/>
      </rPr>
      <t>(Q3/26-33)</t>
    </r>
  </si>
  <si>
    <t>ICL web+e-shop</t>
  </si>
  <si>
    <t>ICL mobilná aplikácia</t>
  </si>
  <si>
    <t>Cena/rok bez DPH</t>
  </si>
  <si>
    <t>Mzdové náklady</t>
  </si>
  <si>
    <t>Externé riadenie</t>
  </si>
  <si>
    <t>Mediálny piestor</t>
  </si>
  <si>
    <t>Mediálna agentúra v2</t>
  </si>
  <si>
    <t>Mediálna agentúra v 2</t>
  </si>
  <si>
    <t>Integrácia HW (per typ zariadenia)</t>
  </si>
  <si>
    <t>Integrácia HW (per dopravca)</t>
  </si>
  <si>
    <t>WIFI, GSM, GPS</t>
  </si>
  <si>
    <t>je to dostatočný počet zariadení pre kontrolórov?</t>
  </si>
  <si>
    <t>variant A je bez nákupu zariadení, takže tam asi budú len bankové poplatky</t>
  </si>
  <si>
    <t>MHD, PAD</t>
  </si>
  <si>
    <t>na železniciach žiadne zariadenie na komunikáciu?</t>
  </si>
  <si>
    <t>PAD – NFC</t>
  </si>
  <si>
    <t>žiadny NFC čítač?</t>
  </si>
  <si>
    <t>PAD – NFC / QR Reader</t>
  </si>
  <si>
    <t>žiadny NFC /QR čítač vo variante B a C? variant A nezahŕňa nákup zariadení</t>
  </si>
  <si>
    <t>PAD – NFC / QR / EMV Reader</t>
  </si>
  <si>
    <t>PAD -  NFC / EMV zadné dvere</t>
  </si>
  <si>
    <t>PAD -  NFC / QR / EMV zadné dvere</t>
  </si>
  <si>
    <t>MHD – NFC</t>
  </si>
  <si>
    <t>MHD – NFC / QR Reader</t>
  </si>
  <si>
    <t>MHD – NFC / QR / EMV Reader</t>
  </si>
  <si>
    <r>
      <t xml:space="preserve">ZSR – GSM, </t>
    </r>
    <r>
      <rPr>
        <sz val="9"/>
        <rFont val="Arial Narrow"/>
        <family val="2"/>
        <charset val="1"/>
      </rPr>
      <t>NFC</t>
    </r>
  </si>
  <si>
    <r>
      <rPr>
        <sz val="9"/>
        <color rgb="FF000000"/>
        <rFont val="Arial Narrow"/>
        <family val="2"/>
        <charset val="238"/>
      </rPr>
      <t xml:space="preserve">ZSR – GSM, </t>
    </r>
    <r>
      <rPr>
        <sz val="9"/>
        <color rgb="FF000000"/>
        <rFont val="Arial Narrow"/>
        <family val="2"/>
        <charset val="1"/>
      </rPr>
      <t>NFC / QR / EMV Reader</t>
    </r>
  </si>
  <si>
    <t>Integrácia HW per dopravca</t>
  </si>
  <si>
    <t>Integrácia HW per typ zariadenia</t>
  </si>
  <si>
    <t>Zmluva SLA zariadenie / 5 rokov</t>
  </si>
  <si>
    <t>10 €/mesiac/zariadenie</t>
  </si>
  <si>
    <t>Nákup zariadení</t>
  </si>
  <si>
    <t>Integrácia zariadení a dopravcov</t>
  </si>
  <si>
    <t>Variant</t>
  </si>
  <si>
    <t>Celkové náklady</t>
  </si>
  <si>
    <t>Celkové prínosy</t>
  </si>
  <si>
    <t>Rozdiel</t>
  </si>
  <si>
    <t>Rok</t>
  </si>
  <si>
    <t>Náklady</t>
  </si>
  <si>
    <t>Prínosy</t>
  </si>
  <si>
    <t>IDS/Dopravcovia</t>
  </si>
  <si>
    <t>ŠR</t>
  </si>
  <si>
    <t>SW - vývoj mobilnej aplikácie</t>
  </si>
  <si>
    <t>SW - vývoj SW</t>
  </si>
  <si>
    <t>SW - vývoj web</t>
  </si>
  <si>
    <t>Integračné prostredie</t>
  </si>
  <si>
    <t>Kybernetická bezpečnosť</t>
  </si>
  <si>
    <t>Kybernetická bezpečnosť - externé</t>
  </si>
  <si>
    <t>Audit, testy</t>
  </si>
  <si>
    <t>Backoffice-zariadenia</t>
  </si>
  <si>
    <t>2,5 roka x 12 mesiacov x 20,5 MD x 8 hodín</t>
  </si>
  <si>
    <t>2,5 roka x 12 mesiacov x 10 MD x 8 hodín</t>
  </si>
  <si>
    <t>PAD -  NFC zadné dvere</t>
  </si>
  <si>
    <t>2 €/mesiac/zariadenie</t>
  </si>
  <si>
    <t>2,1 zariadenia na stanicu</t>
  </si>
  <si>
    <t>ZSR – GSM, NFC</t>
  </si>
  <si>
    <t>ZSR – GSM, NFC / QR / EMV Reader</t>
  </si>
  <si>
    <t>Backoffice - zariadenia</t>
  </si>
  <si>
    <t>Integrácia IDS a dopravcov na ICL</t>
  </si>
  <si>
    <t>IDS / D</t>
  </si>
  <si>
    <t>Dodávka diela + konto cestujúceho vrátane licencie (v zmysle požiadaviek na vládny web) + vyhľadávač spojenia (lístok zakúpený na konkrétnu trasu)</t>
  </si>
  <si>
    <t>Dodávka diela + konto cestujúceho vrátane licencie (v zmysle požiadaviek na vládny web)</t>
  </si>
  <si>
    <t>Vrátane SLA pre web</t>
  </si>
  <si>
    <t>doplniť cenu za inštaláciu</t>
  </si>
  <si>
    <t>4,2 = 1 pri každom vstupe do vozidla</t>
  </si>
  <si>
    <t>2,1 = priemerne na stanicu</t>
  </si>
  <si>
    <t>komunikácia a validácia</t>
  </si>
  <si>
    <t>BT a kontrolóri</t>
  </si>
  <si>
    <t>Príkon</t>
  </si>
  <si>
    <t>Cena za kW/h</t>
  </si>
  <si>
    <t>kW</t>
  </si>
  <si>
    <t>eur/kW</t>
  </si>
  <si>
    <t>Cena energií ročne</t>
  </si>
  <si>
    <t>Zmluva SLA k zariadeniam a telekomunikačné poplatky</t>
  </si>
  <si>
    <t>dátový paušál 2€ mesačne/zariadenie</t>
  </si>
  <si>
    <t>Počet operácií cez ICL</t>
  </si>
  <si>
    <t>Tokenizácia</t>
  </si>
  <si>
    <t>Bankové poplatky - operácie</t>
  </si>
  <si>
    <t>Bankové poplatky - transakcie</t>
  </si>
  <si>
    <t>Poplatok za 1 token</t>
  </si>
  <si>
    <t>Bankové poplatky spolu</t>
  </si>
  <si>
    <t>Zmluva SLA L1</t>
  </si>
  <si>
    <t>Zmluva SLA L2</t>
  </si>
  <si>
    <t>Cena zariadenie/rok</t>
  </si>
  <si>
    <t>Zmluva SLA spolu</t>
  </si>
  <si>
    <t>Tržby cez ICL</t>
  </si>
  <si>
    <t>Počet nových unikát. používateľov</t>
  </si>
  <si>
    <t>Inštalácia zariadení</t>
  </si>
  <si>
    <t>SLA mobilná aplikácia</t>
  </si>
  <si>
    <t>Fixný poplatok za transakciu</t>
  </si>
  <si>
    <t>Variabilný poplatok za transakciu</t>
  </si>
  <si>
    <r>
      <t xml:space="preserve">Dodávka serverov pre BO ICL
upgrade po 5 rokoch </t>
    </r>
    <r>
      <rPr>
        <b/>
        <sz val="10"/>
        <color rgb="FF000000"/>
        <rFont val="Arial Narrow"/>
        <family val="2"/>
        <charset val="238"/>
      </rPr>
      <t>+ 20k</t>
    </r>
  </si>
  <si>
    <t>maintenance serverov v BO ICL, priebežný ročný poplatok</t>
  </si>
  <si>
    <t>integračné prostredie</t>
  </si>
  <si>
    <t>suvisiaci s infraštruktúrou – 99.8%</t>
  </si>
  <si>
    <t>ak potrebné, rozložiť na HW, SW, rozvoj</t>
  </si>
  <si>
    <t>externé - certifikácia/audit, penetračné testy</t>
  </si>
  <si>
    <r>
      <t xml:space="preserve">Vrátane SLA pre web </t>
    </r>
    <r>
      <rPr>
        <strike/>
        <sz val="10"/>
        <color rgb="FF000000"/>
        <rFont val="Arial Narrow"/>
        <family val="2"/>
        <charset val="238"/>
      </rPr>
      <t>a SLA pre e-shop</t>
    </r>
  </si>
  <si>
    <t>740*2.1-100 = 1454 (100 ks - existujúce zariadenia BID)
cca 2 €/zariadenie/mesiac
validačné zariadenia PAD a MHD komunikujú v rámci exitujúcej infraštruktúry a existujúcich poplatkov</t>
  </si>
  <si>
    <t>rok</t>
  </si>
  <si>
    <t>0.05 cent + 1% za transakciu, 10000 transakcii/deň</t>
  </si>
  <si>
    <t>5 rokov</t>
  </si>
  <si>
    <t>Pre variant C), jednorazový poplatok cca 0,50 € za registráciu EMV karty, opakuje sa po vydaní novej karty</t>
  </si>
  <si>
    <t>Web + licencia</t>
  </si>
  <si>
    <t>Dodávka diela e-shop + konto cestujúceho vrátane licencie (v zmysle požiadaviek na vládny web)
Pre Variant A) je potrebný aj vyhľadávač spojenia (lístok zakúpený na konkrétnu trasu)</t>
  </si>
  <si>
    <t>bez helpdesku</t>
  </si>
  <si>
    <t>helpdesk mobilná aplikácia</t>
  </si>
  <si>
    <t>3 zamestnanci, plat + réžia</t>
  </si>
  <si>
    <t xml:space="preserve">počty podľa záložky "Vstupy" </t>
  </si>
  <si>
    <t>počty podľa záložky "Vstupy" - cenové navýšenie pre QR a pre EMV</t>
  </si>
  <si>
    <t xml:space="preserve">náklady per dopravca a per typ zariadenia, počty podľa záložky "Vstupy" </t>
  </si>
  <si>
    <t>RČ (Variant AB)</t>
  </si>
  <si>
    <t>HW+SW</t>
  </si>
  <si>
    <t>SLA pre RČ (ABC)</t>
  </si>
  <si>
    <t>100 zariadení</t>
  </si>
  <si>
    <t xml:space="preserve">inštalácia zariadení do vozidiel a na stanice
 PP, OCL MHD, OCL ZSSK, BT maják </t>
  </si>
  <si>
    <t>vozidlo PAD (PP) - 3 hodiny/vozidlo 
vozidlo PAD (PP + OCL pri zadných dverách) - 5 hodiny/vozidlo
vozidlo MHD (PP + 3 x OCL) - 6 hodín/vozidlo
BT maják 2 hodiny/vozidlo
ZSSK - 4 hodiny/zariadenie na peróne (privedená elektrická prípojka)
harmonogram - 2 mesiace/dopravca (6 vozidiel/deň)</t>
  </si>
  <si>
    <t>XXX</t>
  </si>
  <si>
    <t>počty treba upresniť podľa údajov v záložke "Vstupy" a podľa varianty riešenia</t>
  </si>
  <si>
    <t>Súhrn CBA</t>
  </si>
  <si>
    <t>Súhrn nákladov a benefitov podľa variantov</t>
  </si>
  <si>
    <t>N_03 Prieskum BO</t>
  </si>
  <si>
    <t>N_032 Prieskum zariadenia</t>
  </si>
  <si>
    <t>Vstupné údaje pre výpočet nákladov - mzdy, projektová podpora, komunikačná kampaň, zariadenia, backoffice...</t>
  </si>
  <si>
    <t>Výsledky neformálneho prieskumu PHZ na dodávku časti backoffic</t>
  </si>
  <si>
    <t>Neformálny prieskum - nacenenie zariadení</t>
  </si>
  <si>
    <t>Neformálne nacenenie vendor 1</t>
  </si>
  <si>
    <t>N_031 Vendor 1</t>
  </si>
  <si>
    <t>V_011 Varianty Validácia</t>
  </si>
  <si>
    <t>V_012 Varianty Zariadenia</t>
  </si>
  <si>
    <t>z výšky transakcie</t>
  </si>
  <si>
    <t>Výnos</t>
  </si>
  <si>
    <t>z každej transakcie</t>
  </si>
  <si>
    <t>CAPEX (€)</t>
  </si>
  <si>
    <t>OPEX (€)</t>
  </si>
  <si>
    <t>CAPEX (%)</t>
  </si>
  <si>
    <t>OPEX (%)</t>
  </si>
  <si>
    <t>POO (%)</t>
  </si>
  <si>
    <t>ŠR  (%)</t>
  </si>
  <si>
    <t>Výnosy  (%)</t>
  </si>
  <si>
    <t>Iné ZF  (%)</t>
  </si>
  <si>
    <t>IDS/Dopravc.  (%)</t>
  </si>
  <si>
    <t>Priemerná cena lístka ICL pri súčasných cenách a súčasnom modal splite</t>
  </si>
  <si>
    <t>Cloud kredity na 5 rokov (Dodávka serverov pre BO ICL)</t>
  </si>
  <si>
    <t>Zahrnuté v cloude (Maintenance serverov v BO ICL)om&amp;</t>
  </si>
  <si>
    <t>Zahrnuté v cloude (Licencie 3. strán – OS, SQL, WEB server, … pre BO ICL)</t>
  </si>
  <si>
    <t>Zahrnuté v cloude (Suvisiaci s infraštruktúrou – požadovaná dostupnosť 99.8%)</t>
  </si>
  <si>
    <t>Integrácia IDS a dopravcovia</t>
  </si>
  <si>
    <t>Nová cloud zmluva po 5 rokoch</t>
  </si>
  <si>
    <t>Manipulačný poplatok</t>
  </si>
  <si>
    <t>HW/cloud</t>
  </si>
  <si>
    <t>aj rozvoj?</t>
  </si>
  <si>
    <t>aj SLA mobilná app?</t>
  </si>
  <si>
    <t>špecifikácia?</t>
  </si>
  <si>
    <t>moduly, MD rates? Nejaká štruktúra</t>
  </si>
  <si>
    <t>aj zariadenia?</t>
  </si>
  <si>
    <t>Total bez DPH</t>
  </si>
  <si>
    <t>Total s DPH</t>
  </si>
  <si>
    <t>Total MD</t>
  </si>
  <si>
    <t>Level1</t>
  </si>
  <si>
    <t>Level2</t>
  </si>
  <si>
    <t>Level3</t>
  </si>
  <si>
    <t>Level4</t>
  </si>
  <si>
    <t>Cena bez DPH</t>
  </si>
  <si>
    <t>Cena s DPH</t>
  </si>
  <si>
    <t>MD</t>
  </si>
  <si>
    <t>Predpoklad</t>
  </si>
  <si>
    <t>A.    Minimálne funkčné špecifikácie centrálnych služieb ABT ICL</t>
  </si>
  <si>
    <t>Dátová integrácia prostriedkov a služieb ICL</t>
  </si>
  <si>
    <t xml:space="preserve">Peer to peer integrácia systémov poskytovateľov služieb VOD, mobility a ďalších doplnkových služieb s cieľom priebežne nadobudnúť online údaje o aktuálnej situácií cestovania a prostriedkov / kapacít aktérov zapojených v sieti ICL: </t>
  </si>
  <si>
    <t>Informácie o cestujúcich, aktuálne využívaných tarifách, vykonaných úsekoch atď.</t>
  </si>
  <si>
    <t>Informácie o sieťach, o tarifoch</t>
  </si>
  <si>
    <t>Informácie o aktuálnom pohybe dopravných prostriedkov, o využití ich kapacity atď.</t>
  </si>
  <si>
    <t>Dátová integrácia procesov validácie v dopravných úsekoch (reláciách) cestujúcich</t>
  </si>
  <si>
    <t>F. Testing</t>
  </si>
  <si>
    <t>Integračné testovanie s dopravcami</t>
  </si>
  <si>
    <t>13 typov zariadení/40 dopravcov</t>
  </si>
  <si>
    <t>Informácie o využívaní služieb prvej a poslednej míle</t>
  </si>
  <si>
    <t>Možnosť zapájania nových poskytovateľov služieb s/bez podporných back-office systémov</t>
  </si>
  <si>
    <t>štandardy</t>
  </si>
  <si>
    <t>Bude definovany datovy standard</t>
  </si>
  <si>
    <t>Konverzia na jednotné komunikačné štandardy a protokoly</t>
  </si>
  <si>
    <t>Polovica integracii bude technicky ok, polovica obsahovo ok</t>
  </si>
  <si>
    <t>Vývojové a testovacie prostredie modulov IS ICL</t>
  </si>
  <si>
    <t>Separatne nacenene v casti Technologie (HW/licSW)</t>
  </si>
  <si>
    <t>Služby garantovanej dostupnosti</t>
  </si>
  <si>
    <t>Predpokladame, ze sa jedna len o report</t>
  </si>
  <si>
    <t>Manažment klientskych účtov – cestujúcich zákazníkov</t>
  </si>
  <si>
    <t>Bezpečná registrácia klientov oddelená od ostatných funkcionalít systému bezvýznamovými identifikátormi</t>
  </si>
  <si>
    <t>IAM</t>
  </si>
  <si>
    <t>Ratame to cez mobil, apku, kamennu predajnu bez tvarovej biometrie apod</t>
  </si>
  <si>
    <t>Údaje identity, kontaktné údaje, platobné a ďalšie špecifické údaje umožňujúce individuálny prístup pre plnenie spokojnosti zákazníka</t>
  </si>
  <si>
    <t>Manažment nákupov a platieb</t>
  </si>
  <si>
    <t>Zabezpečenie nákupov služieb dostupných v systéme ICL</t>
  </si>
  <si>
    <t>Realizácia rôznych metód platieb pre variabilný počet osôb – minimálne v rozsahu bezhotovostných platobných kariet, dopravných kariet, platobným bránami, kreditom</t>
  </si>
  <si>
    <t>Platobné kanály</t>
  </si>
  <si>
    <t>Otvorenosť pre rozšírenie o ďalších spôsoby platieb - bankovými prevodmi, hotovostnými platbami v prepojení s platobnými automatmi</t>
  </si>
  <si>
    <t>Možnosť zdieľania platobných rozhraní, zabezpečenie clearingu a auditovateľnosti platobných transakcií</t>
  </si>
  <si>
    <t>Vysoký stupeň bezpečnosti a ochrany proti zneužitiu</t>
  </si>
  <si>
    <t>Manažment validácie služieb</t>
  </si>
  <si>
    <t xml:space="preserve">Spracovanie validačných dát jednotlivých úsekov ciest, ich spárovanie s účtami cestujúcich a zakúpenými službami poskytovateľov. </t>
  </si>
  <si>
    <t>Mapovanie realizovaných ciest</t>
  </si>
  <si>
    <t>Manažment rizík a kontrol</t>
  </si>
  <si>
    <t>Riešenie špecifických situácií pri chybnej validácii, reklamáciách, vysporiadaní nárokov podľa prepravných poriadkov atď.</t>
  </si>
  <si>
    <t>Reklamácie</t>
  </si>
  <si>
    <t>Funkcie inšpekčnej kontroly</t>
  </si>
  <si>
    <t>Kontrolná funkcia</t>
  </si>
  <si>
    <t>Manažment zúčtovania cestovného</t>
  </si>
  <si>
    <t>Spárovanie a vysporiadanie cestovného alebo kreditu podľa záznamov validácie</t>
  </si>
  <si>
    <t>Rozúčtovanie jazdného</t>
  </si>
  <si>
    <t>Uplatnenie najvýhodnejších taríf jednotlivých dopravcov v prospech cestujúcich</t>
  </si>
  <si>
    <t>Priradenie optimálnej ceny jazdného</t>
  </si>
  <si>
    <t>Manažment deľby tržieb</t>
  </si>
  <si>
    <t>Vysporiadanie tržieb podľa platných mechanizmov na základe spárovania účtov cestujúcich, zakúpených služieb, validačných záznamov a záznamov služieb dopravcov pre daný účet a validácie.</t>
  </si>
  <si>
    <t>Doplnkové služby NADA</t>
  </si>
  <si>
    <t>Služby dopravných informácií – statické a dynamické informácie o doprave pre cestujúcich a dopravcov</t>
  </si>
  <si>
    <t>Komunikácia a meranie spokojnosti – informácie o aktuálnych službách ICL a meranie spokojnosti</t>
  </si>
  <si>
    <t>Služba optimalizácie taríf</t>
  </si>
  <si>
    <t>Výpisy, štatistiky a reporty – vyhodnocovanie ICL</t>
  </si>
  <si>
    <t>Reporting</t>
  </si>
  <si>
    <t>B.     Minimálne funkčné špecifikácie nástrojov validácie ICL</t>
  </si>
  <si>
    <t>Mobilná aplikácia ICL s funkciou Zahájenie / Ukončenie cesty vykonanou manuálnym úkonom alebo automaticky v prepojení na zariadenia inštalované v priestoroch vozidla alebo zastávky. Dáta súvisiace s vykonaním validácie sú odoslané do centrálneho servera ICL (back office).</t>
  </si>
  <si>
    <t>Snímač dopravnej BČK na báze technológie NFC a jej vlastností – zosnímanie dát z dopravnej karty a ich odoslanie do centrálneho servera ICL (back office).</t>
  </si>
  <si>
    <t>C.     Minimálne funkčné špecifikácia mobilnej aplikácie ICL</t>
  </si>
  <si>
    <t xml:space="preserve">Prehľady a plánovania trás, </t>
  </si>
  <si>
    <t>Výberu lístka (služby) a jeho zaplatenie minimálne pomocou platobných kariet (cEMV), dopravných kariet, platobným bránami.</t>
  </si>
  <si>
    <t>Možnosť platby viacerým účastníkom napr. rodiny alebo skupiny.</t>
  </si>
  <si>
    <t>Možnosť uplatnenia zliav.</t>
  </si>
  <si>
    <t>Možnosť výberu doplnkových služieb MaaS.</t>
  </si>
  <si>
    <t>Voľba možnosti cestovania v režime Pay as you Go.</t>
  </si>
  <si>
    <t>Funkcia zobrazenia lístka s informáciami potvrdzujúcimi oprávnenosť cestovať</t>
  </si>
  <si>
    <t xml:space="preserve">Poskytovanie spätnej väzby o spokojnosti so službami, </t>
  </si>
  <si>
    <t>Dostupnosť informácií o aktuálnych spojoch a meškaniach, atď..</t>
  </si>
  <si>
    <t>Využitie technológií pre detekciu vstupu a výstupu z vozidiel VOD – podporu automatickej validácie, Frictionless Access Control, FAC</t>
  </si>
  <si>
    <t>D.     Minimálne funkčné špecifikácie Web ICL</t>
  </si>
  <si>
    <t>web služba webového sídla ICL</t>
  </si>
  <si>
    <t>Centrum pomoci - Informácie, návody, stiahnutia</t>
  </si>
  <si>
    <t>Registrácia / Môj ICL – osobné miesto klienta</t>
  </si>
  <si>
    <t>Registrácia partnerov ICL – zapojenie nových služieb do ICL</t>
  </si>
  <si>
    <t>E. Technologické požiadavky</t>
  </si>
  <si>
    <t>Technológie</t>
  </si>
  <si>
    <t>Konfigurácia a oživenie všetkých potrebných technológií</t>
  </si>
  <si>
    <t>Vybudovanie 3 prostredí: produkčné, integračné, testovacie</t>
  </si>
  <si>
    <t>Konfigurácia a oživenie všetkých potrebných interfejsov</t>
  </si>
  <si>
    <t>Konfigurácia rozhraní všetkých externých interfejsov</t>
  </si>
  <si>
    <t>Vybudovanie 2 prostredí: vývojové, testovacie - na strane dodávateľa</t>
  </si>
  <si>
    <t xml:space="preserve">Udržiavanie 3 prostredí </t>
  </si>
  <si>
    <t>Udržiavanie 2 prostredí - na strane dodávateľa</t>
  </si>
  <si>
    <t>Iniciálne naplnenie obsahu databáz zoznamami a číselníkmi</t>
  </si>
  <si>
    <t>40 dopravcov na integračnom prostredí</t>
  </si>
  <si>
    <t>40 dopravcov, 3 iterácie</t>
  </si>
  <si>
    <t>UAT</t>
  </si>
  <si>
    <t>Integračné testovanie systému</t>
  </si>
  <si>
    <t>Záťazové testovanie</t>
  </si>
  <si>
    <t>Bezpečnostné testy</t>
  </si>
  <si>
    <t>Dokumentácia - inštalačná, prevádzková, bezpečnostná</t>
  </si>
  <si>
    <t>Bezpecnostny projekt</t>
  </si>
  <si>
    <t>Penetračné testy</t>
  </si>
  <si>
    <t>IS</t>
  </si>
  <si>
    <t>Integrácia</t>
  </si>
  <si>
    <t>Tech platforma a Security</t>
  </si>
  <si>
    <t>Technologická platforma</t>
  </si>
  <si>
    <t>Kategoria</t>
  </si>
  <si>
    <t>Integrácie na backoffice</t>
  </si>
  <si>
    <t>s DPH</t>
  </si>
  <si>
    <t>Mediálna kampaň po úprave</t>
  </si>
  <si>
    <t>Redukcia 30 %</t>
  </si>
  <si>
    <t>Zariadenia (vrátane inštalácie)</t>
  </si>
  <si>
    <t>SR 2026</t>
  </si>
  <si>
    <t>SR 2027-2033</t>
  </si>
  <si>
    <t>SW - Technologická platforma</t>
  </si>
  <si>
    <t>N6 Externé náklady projektu</t>
  </si>
  <si>
    <t>Externá podpora implementácie</t>
  </si>
  <si>
    <t>POO rozdiel</t>
  </si>
  <si>
    <t>SLA  Backoffice, WEB, APP</t>
  </si>
  <si>
    <t>Cloud riešenie pre  HW</t>
  </si>
  <si>
    <t>a</t>
  </si>
  <si>
    <t>b</t>
  </si>
  <si>
    <t>c</t>
  </si>
  <si>
    <t>Ostatné osobné náklady</t>
  </si>
  <si>
    <t>technické pomocky, školenia, konferencie, služobné cesty, ...</t>
  </si>
  <si>
    <t>Technické vybavenie a prevádzka (rocne)</t>
  </si>
  <si>
    <t>Školenie/konferencia</t>
  </si>
  <si>
    <t>Technické vybavenie a prevádzka</t>
  </si>
  <si>
    <t>počet MJ (osoby)</t>
  </si>
  <si>
    <t>počet MJ ( FTE)</t>
  </si>
  <si>
    <t>počet MJ (sluzobne cesty)</t>
  </si>
  <si>
    <t>Školenia/konferencia</t>
  </si>
  <si>
    <t>Služobné cesty</t>
  </si>
  <si>
    <t>počet MJ (školenia/konferencie)</t>
  </si>
  <si>
    <t>2H 2026</t>
  </si>
  <si>
    <t>inv</t>
  </si>
  <si>
    <t>prev</t>
  </si>
  <si>
    <t>Benefit/Náklad</t>
  </si>
  <si>
    <t>Kvantifikované benefity</t>
  </si>
  <si>
    <t>B1. Zvýšené tržby</t>
  </si>
  <si>
    <t>B2. Ušetrený čas cestujúcich - vybavenie</t>
  </si>
  <si>
    <t>B3. Ušetrený čas cestujúcich - nákup lístkov</t>
  </si>
  <si>
    <t>B4. Znížená nehodovosť</t>
  </si>
  <si>
    <t>B5. Znížené znečistenie ovzdušia</t>
  </si>
  <si>
    <t>B6. Znížená hlučnosť</t>
  </si>
  <si>
    <t>B7. Zníženie objemu skleníkových plynov</t>
  </si>
  <si>
    <t>Nekvantifikované benefity</t>
  </si>
  <si>
    <t>NB1. Jednoduchšie cestovanie</t>
  </si>
  <si>
    <t>NB2. Flexibilnejšie cestovanie</t>
  </si>
  <si>
    <t>NB3. Kvalitnejšie cestovanie</t>
  </si>
  <si>
    <t>NB4. Rýchlejšie cestovanie</t>
  </si>
  <si>
    <t>NB5. Adresnejšie služby</t>
  </si>
  <si>
    <t>NB6. Nižšie prevádzkové náklady</t>
  </si>
  <si>
    <t>NB7. Nižšie a efektívnejšie marketingové náklady</t>
  </si>
  <si>
    <t>NB8. Nižšie administratívne náklady</t>
  </si>
  <si>
    <t>NB9. Nižšie náklady na údržbu ciest</t>
  </si>
  <si>
    <t>NB10. Zatraktívnenie turizmu</t>
  </si>
  <si>
    <t>NB11. Menej podvodov</t>
  </si>
  <si>
    <t>NB12. Lepšie výkony</t>
  </si>
  <si>
    <t>NB13. Lepšia dostupnosť a kvalita dát</t>
  </si>
  <si>
    <t>NB14. Vyššia miera interoperability</t>
  </si>
  <si>
    <t>N1 Náklady na centrálne komponenty</t>
  </si>
  <si>
    <t>N2 Náklady na integrácie</t>
  </si>
  <si>
    <t>N3 Náklady na zariadenia</t>
  </si>
  <si>
    <t>N4 Náklady na prevádzku riešenia</t>
  </si>
  <si>
    <t>N6 Externé riadenie projektu</t>
  </si>
  <si>
    <t>Dopad na štátny rozpočet</t>
  </si>
  <si>
    <t>Súčet dosiahnutých bodov</t>
  </si>
  <si>
    <r>
      <t> </t>
    </r>
    <r>
      <rPr>
        <sz val="10"/>
        <color theme="1"/>
        <rFont val="Segoe UI"/>
        <family val="2"/>
        <charset val="238"/>
      </rPr>
      <t>.. v inej časti sa tvrdí že sú rovnaké</t>
    </r>
  </si>
  <si>
    <r>
      <t> </t>
    </r>
    <r>
      <rPr>
        <sz val="10"/>
        <color theme="1"/>
        <rFont val="Segoe UI"/>
        <family val="2"/>
        <charset val="238"/>
      </rPr>
      <t>..určite vyššie ako pre B</t>
    </r>
  </si>
  <si>
    <r>
      <t> </t>
    </r>
    <r>
      <rPr>
        <sz val="10"/>
        <color rgb="FFFF0000"/>
        <rFont val="Segoe UI"/>
        <family val="2"/>
        <charset val="238"/>
      </rPr>
      <t xml:space="preserve">Nesprávne hodnotenie. </t>
    </r>
    <r>
      <rPr>
        <sz val="10"/>
        <color theme="1"/>
        <rFont val="Segoe UI"/>
        <family val="2"/>
        <charset val="238"/>
      </rPr>
      <t>Prevádzkovanie rôznorodých a starších zariadení je určite drahšie ako jeden typ nových označovačov.</t>
    </r>
  </si>
  <si>
    <t>2024-Q2/26 (s DPH)</t>
  </si>
  <si>
    <t>POO+ŠR</t>
  </si>
  <si>
    <t>2024-Q2/26 (bez DPH)</t>
  </si>
  <si>
    <t>2024-Q2/26 (DPH)</t>
  </si>
  <si>
    <t>2026 Q3 a Q4</t>
  </si>
  <si>
    <t>ŠR (iba dph)</t>
  </si>
  <si>
    <t>ŠR (zaklad aj DPH)</t>
  </si>
  <si>
    <t>Náklady do 2Q 2026</t>
  </si>
  <si>
    <t>bez DPH</t>
  </si>
  <si>
    <t>DPH</t>
  </si>
  <si>
    <t>Rozdiel nákladov bez DPH voči limitu POO</t>
  </si>
  <si>
    <t>Spolu s DPH</t>
  </si>
  <si>
    <t>do H2 26</t>
  </si>
  <si>
    <t>H2 26</t>
  </si>
  <si>
    <t>SR bez DPh</t>
  </si>
  <si>
    <t>SR DPH</t>
  </si>
  <si>
    <t xml:space="preserve">Spolu </t>
  </si>
  <si>
    <t>SR spolu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</si>
</sst>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5">
    <numFmt numFmtId="8" formatCode="#,##0.00\ &quot;€&quot;;[Red]\-#,##0.00\ &quot;€&quot;"/>
    <numFmt numFmtId="43" formatCode="_-* #,##0.00_-;\-* #,##0.00_-;_-* &quot;-&quot;??_-;_-@_-"/>
    <numFmt numFmtId="164" formatCode="_(* #,##0_);_(* \(#,##0\);_(* &quot;-&quot;_);_(@_)"/>
    <numFmt numFmtId="165" formatCode="_(* #,##0.00_);_(* \(#,##0.00\);_(* &quot;-&quot;??_);_(@_)"/>
    <numFmt numFmtId="166" formatCode="0.0"/>
    <numFmt numFmtId="167" formatCode="0.0%"/>
    <numFmt numFmtId="168" formatCode="#,##0.00\ &quot;€&quot;"/>
    <numFmt numFmtId="169" formatCode="###\ ###\ ###\ ##0"/>
    <numFmt numFmtId="170" formatCode="#\ ###\ ##0"/>
    <numFmt numFmtId="171" formatCode="###\ ###\ ###\ ###\ ##0"/>
    <numFmt numFmtId="172" formatCode="#,##0.0\ &quot;€&quot;"/>
    <numFmt numFmtId="173" formatCode="#,##0\ &quot;€&quot;"/>
    <numFmt numFmtId="174" formatCode="#\ ###\ ###\ ##0"/>
    <numFmt numFmtId="175" formatCode="0.0000"/>
    <numFmt numFmtId="176" formatCode="#\ ##0"/>
    <numFmt numFmtId="177" formatCode="0.000%"/>
    <numFmt numFmtId="178" formatCode="_(* #,##0.0_);_(* \(#,##0.0\);_(* &quot;-&quot;?_);_(@_)"/>
    <numFmt numFmtId="179" formatCode="_-* #,##0_-;\-* #,##0_-;_-* &quot;-&quot;??_-;_-@_-"/>
    <numFmt numFmtId="180" formatCode="#,##0.00000"/>
    <numFmt numFmtId="181" formatCode="#,##0.00&quot; €&quot;"/>
    <numFmt numFmtId="182" formatCode="#,##0.0"/>
    <numFmt numFmtId="183" formatCode="#,##0.00\ _€"/>
    <numFmt numFmtId="184" formatCode="#,##0.00\ _€;[Red]\-#,##0.00\ _€"/>
    <numFmt numFmtId="185" formatCode="#,##0.0000\ &quot;€&quot;"/>
    <numFmt numFmtId="186" formatCode="0.00000000%"/>
  </numFmts>
  <fonts count="164">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sz val="9"/>
      <color theme="1"/>
      <name val="Arial"/>
      <family val="2"/>
      <charset val="238"/>
    </font>
    <font>
      <u/>
      <sz val="11"/>
      <color theme="10"/>
      <name val="Calibri"/>
      <family val="2"/>
      <scheme val="minor"/>
    </font>
    <font>
      <sz val="8"/>
      <color theme="1"/>
      <name val="Arial"/>
      <family val="2"/>
      <charset val="238"/>
    </font>
    <font>
      <sz val="8"/>
      <color theme="1"/>
      <name val="Calibri"/>
      <family val="2"/>
      <scheme val="minor"/>
    </font>
    <font>
      <sz val="8"/>
      <name val="Arial"/>
      <family val="2"/>
      <charset val="238"/>
    </font>
    <font>
      <sz val="7"/>
      <name val="Arial"/>
      <family val="2"/>
      <charset val="238"/>
    </font>
    <font>
      <sz val="9"/>
      <name val="Arial"/>
      <family val="2"/>
      <charset val="238"/>
    </font>
    <font>
      <b/>
      <sz val="9"/>
      <name val="Arial"/>
      <family val="2"/>
      <charset val="238"/>
    </font>
    <font>
      <b/>
      <vertAlign val="superscript"/>
      <sz val="9"/>
      <name val="Arial"/>
      <family val="2"/>
      <charset val="238"/>
    </font>
    <font>
      <b/>
      <sz val="11"/>
      <name val="Arial"/>
      <family val="2"/>
      <charset val="238"/>
    </font>
    <font>
      <sz val="9"/>
      <color theme="1"/>
      <name val="Calibri"/>
      <family val="2"/>
      <scheme val="minor"/>
    </font>
    <font>
      <b/>
      <sz val="8"/>
      <color theme="1"/>
      <name val="Arial"/>
      <family val="2"/>
      <charset val="238"/>
    </font>
    <font>
      <u/>
      <sz val="9"/>
      <color theme="10"/>
      <name val="Calibri"/>
      <family val="2"/>
      <scheme val="minor"/>
    </font>
    <font>
      <b/>
      <sz val="9"/>
      <color theme="1"/>
      <name val="Calibri"/>
      <family val="2"/>
      <charset val="238"/>
      <scheme val="minor"/>
    </font>
    <font>
      <b/>
      <sz val="9"/>
      <color theme="1"/>
      <name val="Calibri"/>
      <family val="2"/>
      <scheme val="minor"/>
    </font>
    <font>
      <u/>
      <sz val="8"/>
      <color theme="10"/>
      <name val="Calibri"/>
      <family val="2"/>
      <scheme val="minor"/>
    </font>
    <font>
      <b/>
      <sz val="9"/>
      <color theme="0"/>
      <name val="Calibri"/>
      <family val="2"/>
      <charset val="238"/>
      <scheme val="minor"/>
    </font>
    <font>
      <sz val="10"/>
      <color theme="1"/>
      <name val="Arial"/>
      <family val="2"/>
    </font>
    <font>
      <u/>
      <sz val="10"/>
      <color theme="10"/>
      <name val="Arial"/>
      <family val="2"/>
    </font>
    <font>
      <sz val="10"/>
      <color theme="1"/>
      <name val="Arial"/>
      <family val="2"/>
      <charset val="238"/>
    </font>
    <font>
      <b/>
      <sz val="10"/>
      <color theme="1"/>
      <name val="Arial"/>
      <family val="2"/>
      <charset val="238"/>
    </font>
    <font>
      <sz val="11"/>
      <name val="Calibri"/>
      <family val="2"/>
      <scheme val="minor"/>
    </font>
    <font>
      <u/>
      <sz val="10"/>
      <color theme="10"/>
      <name val="Arial"/>
      <family val="2"/>
      <charset val="238"/>
    </font>
    <font>
      <b/>
      <sz val="8"/>
      <color rgb="FF00385E"/>
      <name val="Tahoma"/>
      <family val="2"/>
      <charset val="238"/>
    </font>
    <font>
      <sz val="9"/>
      <color theme="1"/>
      <name val="Calibri"/>
      <family val="2"/>
      <charset val="238"/>
      <scheme val="minor"/>
    </font>
    <font>
      <b/>
      <sz val="9"/>
      <name val="Calibri"/>
      <family val="2"/>
      <charset val="238"/>
      <scheme val="minor"/>
    </font>
    <font>
      <sz val="9"/>
      <name val="Calibri"/>
      <family val="2"/>
      <charset val="238"/>
      <scheme val="minor"/>
    </font>
    <font>
      <sz val="9"/>
      <name val="Calibri"/>
      <family val="2"/>
      <scheme val="minor"/>
    </font>
    <font>
      <sz val="9"/>
      <color theme="1"/>
      <name val="Arial"/>
      <family val="2"/>
      <charset val="238"/>
    </font>
    <font>
      <b/>
      <sz val="9"/>
      <color theme="1"/>
      <name val="Arial"/>
      <family val="2"/>
      <charset val="238"/>
    </font>
    <font>
      <u/>
      <sz val="9"/>
      <color theme="10"/>
      <name val="Arial"/>
      <family val="2"/>
      <charset val="238"/>
    </font>
    <font>
      <b/>
      <sz val="9"/>
      <name val="Calibri"/>
      <family val="2"/>
      <scheme val="minor"/>
    </font>
    <font>
      <sz val="9"/>
      <color indexed="81"/>
      <name val="Tahoma"/>
      <family val="2"/>
      <charset val="238"/>
    </font>
    <font>
      <sz val="10"/>
      <color theme="1"/>
      <name val="Arial"/>
      <family val="2"/>
      <charset val="238"/>
    </font>
    <font>
      <b/>
      <sz val="10"/>
      <color theme="1"/>
      <name val="Arial"/>
      <family val="2"/>
      <charset val="238"/>
    </font>
    <font>
      <u/>
      <sz val="10"/>
      <color theme="10"/>
      <name val="Arial"/>
      <family val="2"/>
      <charset val="238"/>
    </font>
    <font>
      <b/>
      <sz val="8"/>
      <color rgb="FF00385E"/>
      <name val="Tahoma"/>
      <family val="2"/>
      <charset val="238"/>
    </font>
    <font>
      <b/>
      <sz val="12"/>
      <color theme="8" tint="-0.249977111117893"/>
      <name val="Calibri"/>
      <family val="2"/>
      <scheme val="minor"/>
    </font>
    <font>
      <b/>
      <sz val="9"/>
      <color theme="8" tint="-0.249977111117893"/>
      <name val="Calibri"/>
      <family val="2"/>
      <charset val="238"/>
      <scheme val="minor"/>
    </font>
    <font>
      <b/>
      <sz val="9"/>
      <color indexed="81"/>
      <name val="Tahoma"/>
      <family val="2"/>
      <charset val="238"/>
    </font>
    <font>
      <b/>
      <sz val="9"/>
      <color theme="1"/>
      <name val="Calibri"/>
      <family val="2"/>
      <charset val="238"/>
    </font>
    <font>
      <b/>
      <sz val="9"/>
      <name val="Calibri"/>
      <family val="2"/>
      <charset val="238"/>
    </font>
    <font>
      <sz val="10"/>
      <color theme="1"/>
      <name val="Arial"/>
      <family val="2"/>
      <charset val="238"/>
    </font>
    <font>
      <b/>
      <sz val="10"/>
      <color theme="1"/>
      <name val="Arial"/>
      <family val="2"/>
      <charset val="238"/>
    </font>
    <font>
      <b/>
      <sz val="8"/>
      <color rgb="FF00385E"/>
      <name val="Tahoma"/>
      <family val="2"/>
      <charset val="238"/>
    </font>
    <font>
      <sz val="9"/>
      <color theme="4"/>
      <name val="Calibri"/>
      <family val="2"/>
      <scheme val="minor"/>
    </font>
    <font>
      <sz val="11"/>
      <color theme="4"/>
      <name val="Calibri"/>
      <family val="2"/>
      <scheme val="minor"/>
    </font>
    <font>
      <b/>
      <sz val="11"/>
      <color theme="1"/>
      <name val="Calibri"/>
      <family val="2"/>
      <charset val="238"/>
      <scheme val="minor"/>
    </font>
    <font>
      <vertAlign val="superscript"/>
      <sz val="9"/>
      <color theme="1"/>
      <name val="Calibri"/>
      <family val="2"/>
      <charset val="238"/>
      <scheme val="minor"/>
    </font>
    <font>
      <sz val="8"/>
      <color theme="1"/>
      <name val="Arial"/>
      <family val="2"/>
      <charset val="238"/>
    </font>
    <font>
      <sz val="9"/>
      <color rgb="FFFF0000"/>
      <name val="Calibri"/>
      <family val="2"/>
      <scheme val="minor"/>
    </font>
    <font>
      <i/>
      <sz val="9"/>
      <color theme="1"/>
      <name val="Calibri"/>
      <family val="2"/>
      <charset val="238"/>
      <scheme val="minor"/>
    </font>
    <font>
      <b/>
      <sz val="9"/>
      <color rgb="FF7030A0"/>
      <name val="Calibri"/>
      <family val="2"/>
      <charset val="238"/>
      <scheme val="minor"/>
    </font>
    <font>
      <b/>
      <sz val="9"/>
      <color theme="4" tint="-0.249977111117893"/>
      <name val="Calibri"/>
      <family val="2"/>
      <charset val="238"/>
      <scheme val="minor"/>
    </font>
    <font>
      <b/>
      <sz val="9"/>
      <color theme="5" tint="-0.249977111117893"/>
      <name val="Calibri"/>
      <family val="2"/>
      <charset val="238"/>
      <scheme val="minor"/>
    </font>
    <font>
      <b/>
      <sz val="9"/>
      <color rgb="FF00B0F0"/>
      <name val="Calibri"/>
      <family val="2"/>
      <charset val="238"/>
      <scheme val="minor"/>
    </font>
    <font>
      <b/>
      <sz val="11"/>
      <color theme="1"/>
      <name val="Calibri"/>
      <family val="2"/>
      <charset val="238"/>
    </font>
    <font>
      <b/>
      <sz val="8"/>
      <color theme="1"/>
      <name val="Calibri"/>
      <family val="2"/>
      <scheme val="minor"/>
    </font>
    <font>
      <b/>
      <sz val="11"/>
      <name val="Calibri"/>
      <family val="2"/>
      <charset val="238"/>
    </font>
    <font>
      <b/>
      <sz val="11"/>
      <color theme="1"/>
      <name val="Calibri"/>
      <family val="2"/>
      <charset val="238"/>
    </font>
    <font>
      <sz val="11"/>
      <color rgb="FF92D050"/>
      <name val="Calibri"/>
      <family val="2"/>
      <charset val="238"/>
      <scheme val="minor"/>
    </font>
    <font>
      <sz val="8"/>
      <name val="Calibri"/>
      <family val="2"/>
      <charset val="238"/>
      <scheme val="minor"/>
    </font>
    <font>
      <sz val="8"/>
      <name val="Calibri"/>
      <family val="2"/>
      <scheme val="minor"/>
    </font>
    <font>
      <sz val="8"/>
      <color theme="1"/>
      <name val="Calibri"/>
      <family val="2"/>
      <charset val="238"/>
      <scheme val="minor"/>
    </font>
    <font>
      <b/>
      <sz val="8"/>
      <color theme="1"/>
      <name val="Calibri"/>
      <family val="2"/>
      <charset val="238"/>
      <scheme val="minor"/>
    </font>
    <font>
      <sz val="9"/>
      <color theme="1"/>
      <name val="Arial Narrow"/>
      <family val="2"/>
      <charset val="238"/>
    </font>
    <font>
      <b/>
      <sz val="9"/>
      <color theme="8" tint="-0.249977111117893"/>
      <name val="Arial Narrow"/>
      <family val="2"/>
      <charset val="238"/>
    </font>
    <font>
      <b/>
      <sz val="9"/>
      <color theme="1"/>
      <name val="Arial Narrow"/>
      <family val="2"/>
      <charset val="238"/>
    </font>
    <font>
      <b/>
      <sz val="9"/>
      <name val="Aptos Narrow"/>
      <family val="2"/>
    </font>
    <font>
      <sz val="9"/>
      <color theme="1"/>
      <name val="Aptos Narrow"/>
      <family val="2"/>
    </font>
    <font>
      <b/>
      <sz val="9"/>
      <color theme="1"/>
      <name val="Aptos Narrow"/>
      <family val="2"/>
    </font>
    <font>
      <sz val="8"/>
      <color theme="1"/>
      <name val="Arial Narrow"/>
      <family val="2"/>
      <charset val="238"/>
    </font>
    <font>
      <b/>
      <sz val="9"/>
      <color theme="1"/>
      <name val="Aptos Narrow"/>
      <family val="2"/>
      <charset val="238"/>
    </font>
    <font>
      <b/>
      <sz val="8"/>
      <color theme="1"/>
      <name val="Arial Narrow"/>
      <family val="2"/>
      <charset val="238"/>
    </font>
    <font>
      <sz val="9"/>
      <name val="Calibri"/>
      <family val="2"/>
      <charset val="238"/>
    </font>
    <font>
      <u/>
      <sz val="9"/>
      <color theme="10"/>
      <name val="Calibri"/>
      <family val="2"/>
      <charset val="238"/>
      <scheme val="minor"/>
    </font>
    <font>
      <b/>
      <sz val="8"/>
      <color rgb="FFFF0000"/>
      <name val="Calibri"/>
      <family val="2"/>
      <charset val="238"/>
      <scheme val="minor"/>
    </font>
    <font>
      <b/>
      <sz val="8"/>
      <name val="Arial"/>
      <family val="2"/>
    </font>
    <font>
      <sz val="9"/>
      <color theme="1"/>
      <name val="Arial Narrow"/>
      <family val="2"/>
      <charset val="238"/>
    </font>
    <font>
      <sz val="9"/>
      <color theme="1"/>
      <name val="Calibri"/>
      <family val="2"/>
      <charset val="238"/>
    </font>
    <font>
      <b/>
      <sz val="9"/>
      <color rgb="FF00385E"/>
      <name val="Calibri"/>
      <family val="2"/>
      <charset val="238"/>
    </font>
    <font>
      <u/>
      <sz val="9"/>
      <color theme="10"/>
      <name val="Calibri"/>
      <family val="2"/>
      <charset val="238"/>
    </font>
    <font>
      <b/>
      <sz val="9"/>
      <color rgb="FF00B0F0"/>
      <name val="Calibri"/>
      <family val="2"/>
      <charset val="238"/>
    </font>
    <font>
      <sz val="11"/>
      <color rgb="FFFF0000"/>
      <name val="Calibri"/>
      <family val="2"/>
      <scheme val="minor"/>
    </font>
    <font>
      <sz val="9"/>
      <color rgb="FFFF0000"/>
      <name val="Calibri"/>
      <family val="2"/>
      <charset val="238"/>
      <scheme val="minor"/>
    </font>
    <font>
      <b/>
      <sz val="9"/>
      <color theme="1"/>
      <name val="Arial Narrow"/>
      <family val="2"/>
      <charset val="238"/>
    </font>
    <font>
      <b/>
      <sz val="9"/>
      <color rgb="FFFF0000"/>
      <name val="Arial Narrow"/>
      <family val="2"/>
      <charset val="238"/>
    </font>
    <font>
      <i/>
      <sz val="11"/>
      <color theme="1"/>
      <name val="Calibri"/>
      <family val="2"/>
      <charset val="238"/>
      <scheme val="minor"/>
    </font>
    <font>
      <b/>
      <i/>
      <sz val="11"/>
      <color theme="1"/>
      <name val="Calibri"/>
      <family val="2"/>
      <charset val="238"/>
      <scheme val="minor"/>
    </font>
    <font>
      <sz val="8"/>
      <color theme="1"/>
      <name val="Arial"/>
      <family val="2"/>
      <charset val="238"/>
    </font>
    <font>
      <b/>
      <sz val="10"/>
      <color rgb="FF000000"/>
      <name val="Arial Narrow"/>
      <family val="2"/>
      <charset val="238"/>
    </font>
    <font>
      <sz val="10"/>
      <color rgb="FF000000"/>
      <name val="Arial Narrow"/>
      <family val="2"/>
      <charset val="238"/>
    </font>
    <font>
      <sz val="10"/>
      <color theme="1"/>
      <name val="Calibri"/>
      <family val="2"/>
      <scheme val="minor"/>
    </font>
    <font>
      <b/>
      <sz val="11"/>
      <color theme="0"/>
      <name val="Calibri"/>
      <family val="2"/>
      <charset val="238"/>
      <scheme val="minor"/>
    </font>
    <font>
      <b/>
      <sz val="10"/>
      <color theme="1"/>
      <name val="Calibri"/>
      <family val="2"/>
      <charset val="238"/>
      <scheme val="minor"/>
    </font>
    <font>
      <b/>
      <sz val="11"/>
      <color theme="1"/>
      <name val="Calibri"/>
      <family val="2"/>
      <scheme val="minor"/>
    </font>
    <font>
      <sz val="12"/>
      <color rgb="FF000000"/>
      <name val="Arial"/>
      <family val="2"/>
    </font>
    <font>
      <b/>
      <i/>
      <sz val="11"/>
      <color theme="1"/>
      <name val="Calibri"/>
      <family val="2"/>
      <scheme val="minor"/>
    </font>
    <font>
      <sz val="10"/>
      <color rgb="FF000000"/>
      <name val="Arial Narrow"/>
      <family val="2"/>
      <charset val="238"/>
    </font>
    <font>
      <b/>
      <sz val="11"/>
      <color theme="0"/>
      <name val="Calibri"/>
      <family val="2"/>
      <scheme val="minor"/>
    </font>
    <font>
      <sz val="11"/>
      <color rgb="FF000000"/>
      <name val="Calibri"/>
      <family val="2"/>
      <charset val="1"/>
    </font>
    <font>
      <b/>
      <sz val="12"/>
      <color rgb="FF2E75B6"/>
      <name val="Calibri"/>
      <family val="2"/>
      <charset val="1"/>
    </font>
    <font>
      <sz val="12"/>
      <color rgb="FF000000"/>
      <name val="Calibri"/>
      <family val="2"/>
      <charset val="1"/>
    </font>
    <font>
      <b/>
      <sz val="9"/>
      <color rgb="FF2E75B6"/>
      <name val="Calibri"/>
      <family val="2"/>
      <charset val="238"/>
    </font>
    <font>
      <sz val="9"/>
      <color rgb="FF000000"/>
      <name val="Calibri"/>
      <family val="2"/>
      <charset val="1"/>
    </font>
    <font>
      <b/>
      <sz val="11"/>
      <color rgb="FF000000"/>
      <name val="Calibri"/>
      <family val="2"/>
      <charset val="238"/>
    </font>
    <font>
      <b/>
      <sz val="9"/>
      <color rgb="FF000000"/>
      <name val="Calibri"/>
      <family val="2"/>
      <charset val="238"/>
    </font>
    <font>
      <strike/>
      <sz val="9"/>
      <color rgb="FF000000"/>
      <name val="Arial Narrow"/>
      <family val="2"/>
      <charset val="238"/>
    </font>
    <font>
      <strike/>
      <sz val="9"/>
      <color rgb="FF000000"/>
      <name val="Calibri"/>
      <family val="2"/>
      <charset val="1"/>
    </font>
    <font>
      <sz val="9"/>
      <color rgb="FF000000"/>
      <name val="Arial Narrow"/>
      <family val="2"/>
      <charset val="238"/>
    </font>
    <font>
      <sz val="9"/>
      <name val="Calibri"/>
      <family val="2"/>
      <charset val="1"/>
    </font>
    <font>
      <strike/>
      <sz val="9"/>
      <color rgb="FF000000"/>
      <name val="Calibri Light"/>
      <family val="2"/>
      <charset val="238"/>
    </font>
    <font>
      <sz val="9"/>
      <color rgb="FFFF0000"/>
      <name val="Calibri"/>
      <family val="2"/>
      <charset val="1"/>
    </font>
    <font>
      <sz val="9"/>
      <name val="Arial Narrow"/>
      <family val="2"/>
      <charset val="238"/>
    </font>
    <font>
      <sz val="9"/>
      <name val="Arial Narrow"/>
      <family val="2"/>
      <charset val="1"/>
    </font>
    <font>
      <sz val="9"/>
      <color rgb="FF000000"/>
      <name val="Arial Narrow"/>
      <family val="2"/>
      <charset val="1"/>
    </font>
    <font>
      <b/>
      <sz val="9"/>
      <color rgb="FF000000"/>
      <name val="Calibri"/>
      <family val="2"/>
      <charset val="1"/>
    </font>
    <font>
      <sz val="11"/>
      <color rgb="FF000000"/>
      <name val="Calibri"/>
      <family val="2"/>
      <charset val="238"/>
    </font>
    <font>
      <b/>
      <sz val="9"/>
      <color indexed="81"/>
      <name val="Segoe UI"/>
      <family val="2"/>
      <charset val="238"/>
    </font>
    <font>
      <sz val="9"/>
      <color indexed="81"/>
      <name val="Segoe UI"/>
      <family val="2"/>
      <charset val="238"/>
    </font>
    <font>
      <sz val="9"/>
      <color rgb="FFFF0000"/>
      <name val="Calibri"/>
      <family val="2"/>
      <charset val="238"/>
    </font>
    <font>
      <b/>
      <sz val="12"/>
      <color theme="8" tint="-0.249977111117893"/>
      <name val="Calibri"/>
      <family val="2"/>
      <charset val="238"/>
    </font>
    <font>
      <sz val="12"/>
      <color theme="1"/>
      <name val="Calibri"/>
      <family val="2"/>
      <charset val="238"/>
    </font>
    <font>
      <b/>
      <sz val="9"/>
      <color theme="8" tint="-0.249977111117893"/>
      <name val="Calibri"/>
      <family val="2"/>
      <charset val="238"/>
    </font>
    <font>
      <sz val="9"/>
      <color theme="4" tint="-0.249977111117893"/>
      <name val="Calibri"/>
      <family val="2"/>
      <charset val="238"/>
    </font>
    <font>
      <sz val="9"/>
      <color rgb="FF000000"/>
      <name val="Calibri"/>
      <family val="2"/>
      <charset val="238"/>
    </font>
    <font>
      <strike/>
      <sz val="10"/>
      <color rgb="FF000000"/>
      <name val="Arial Narrow"/>
      <family val="2"/>
      <charset val="238"/>
    </font>
    <font>
      <b/>
      <sz val="10"/>
      <color theme="1"/>
      <name val="Arial Narrow"/>
      <family val="2"/>
      <charset val="238"/>
    </font>
    <font>
      <sz val="10"/>
      <color theme="1"/>
      <name val="Arial Narrow"/>
      <family val="2"/>
      <charset val="238"/>
    </font>
    <font>
      <b/>
      <sz val="11"/>
      <color theme="1"/>
      <name val="Arial Narrow"/>
      <family val="2"/>
      <charset val="238"/>
    </font>
    <font>
      <sz val="11"/>
      <color theme="1"/>
      <name val="Arial Narrow"/>
      <family val="2"/>
      <charset val="238"/>
    </font>
    <font>
      <sz val="10"/>
      <color theme="1"/>
      <name val="Calibri"/>
      <family val="2"/>
      <charset val="238"/>
      <scheme val="minor"/>
    </font>
    <font>
      <u/>
      <sz val="10"/>
      <color theme="10"/>
      <name val="Calibri"/>
      <family val="2"/>
      <charset val="238"/>
      <scheme val="minor"/>
    </font>
    <font>
      <sz val="10"/>
      <name val="Calibri"/>
      <family val="2"/>
      <charset val="238"/>
      <scheme val="minor"/>
    </font>
    <font>
      <u/>
      <sz val="10"/>
      <color theme="4" tint="-0.499984740745262"/>
      <name val="Calibri"/>
      <family val="2"/>
      <charset val="238"/>
      <scheme val="minor"/>
    </font>
    <font>
      <u/>
      <sz val="11"/>
      <color theme="4" tint="-0.499984740745262"/>
      <name val="Calibri"/>
      <family val="2"/>
      <scheme val="minor"/>
    </font>
    <font>
      <i/>
      <sz val="10"/>
      <color theme="1"/>
      <name val="Arial Narrow"/>
      <family val="2"/>
      <charset val="238"/>
    </font>
    <font>
      <b/>
      <i/>
      <sz val="10"/>
      <color theme="1"/>
      <name val="Arial Narrow"/>
      <family val="2"/>
      <charset val="238"/>
    </font>
    <font>
      <b/>
      <sz val="11"/>
      <color rgb="FFFFFFFF"/>
      <name val="Arial Narrow"/>
      <family val="2"/>
      <charset val="238"/>
    </font>
    <font>
      <sz val="9"/>
      <color rgb="FF00B0F0"/>
      <name val="Calibri"/>
      <family val="2"/>
      <charset val="238"/>
    </font>
    <font>
      <sz val="9"/>
      <color theme="1"/>
      <name val="Calibri"/>
      <family val="2"/>
      <charset val="238"/>
    </font>
    <font>
      <sz val="9"/>
      <color rgb="FF000000"/>
      <name val="Calibri"/>
      <family val="2"/>
      <scheme val="minor"/>
    </font>
    <font>
      <sz val="9"/>
      <name val="Calibri"/>
      <family val="2"/>
      <charset val="238"/>
    </font>
    <font>
      <i/>
      <sz val="9"/>
      <color theme="1"/>
      <name val="Calibri"/>
      <family val="2"/>
      <charset val="238"/>
    </font>
    <font>
      <sz val="10"/>
      <color theme="1"/>
      <name val="Segoe UI"/>
      <family val="2"/>
      <charset val="238"/>
    </font>
    <font>
      <b/>
      <sz val="9"/>
      <color rgb="FFFFFFFF"/>
      <name val="Segoe UI"/>
      <family val="2"/>
      <charset val="238"/>
    </font>
    <font>
      <b/>
      <sz val="9"/>
      <color rgb="FF000000"/>
      <name val="Segoe UI"/>
      <family val="2"/>
      <charset val="238"/>
    </font>
    <font>
      <sz val="9"/>
      <color theme="1"/>
      <name val="Segoe UI"/>
      <family val="2"/>
      <charset val="238"/>
    </font>
    <font>
      <sz val="8"/>
      <color theme="1"/>
      <name val="Segoe UI"/>
      <family val="2"/>
      <charset val="238"/>
    </font>
    <font>
      <b/>
      <sz val="9"/>
      <color theme="1"/>
      <name val="Segoe UI"/>
      <family val="2"/>
      <charset val="238"/>
    </font>
    <font>
      <sz val="9"/>
      <color rgb="FF000000"/>
      <name val="Segoe UI"/>
      <family val="2"/>
      <charset val="238"/>
    </font>
    <font>
      <sz val="10"/>
      <color rgb="FFFF0000"/>
      <name val="Segoe UI"/>
      <family val="2"/>
      <charset val="238"/>
    </font>
    <font>
      <b/>
      <sz val="11"/>
      <color theme="4"/>
      <name val="Calibri"/>
      <family val="2"/>
      <scheme val="minor"/>
    </font>
    <font>
      <b/>
      <sz val="9"/>
      <color theme="4"/>
      <name val="Calibri"/>
      <family val="2"/>
      <scheme val="minor"/>
    </font>
    <font>
      <b/>
      <sz val="11"/>
      <color theme="9"/>
      <name val="Calibri"/>
      <family val="2"/>
      <scheme val="minor"/>
    </font>
    <font>
      <b/>
      <sz val="9"/>
      <color theme="9"/>
      <name val="Calibri"/>
      <family val="2"/>
      <scheme val="minor"/>
    </font>
  </fonts>
  <fills count="39">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0"/>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rgb="FFFFC00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rgb="FFFF000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7"/>
        <bgColor indexed="64"/>
      </patternFill>
    </fill>
    <fill>
      <patternFill patternType="solid">
        <fgColor rgb="FFF19A65"/>
        <bgColor indexed="64"/>
      </patternFill>
    </fill>
    <fill>
      <patternFill patternType="solid">
        <fgColor theme="2"/>
        <bgColor indexed="64"/>
      </patternFill>
    </fill>
    <fill>
      <patternFill patternType="solid">
        <fgColor rgb="FFB4C7E7"/>
        <bgColor rgb="FFCCCCFF"/>
      </patternFill>
    </fill>
    <fill>
      <patternFill patternType="solid">
        <fgColor rgb="FFFFFF00"/>
        <bgColor rgb="FFFFFF00"/>
      </patternFill>
    </fill>
    <fill>
      <patternFill patternType="solid">
        <fgColor theme="6" tint="-0.249977111117893"/>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1"/>
        <bgColor indexed="64"/>
      </patternFill>
    </fill>
    <fill>
      <patternFill patternType="solid">
        <fgColor rgb="FFE7E6E6"/>
        <bgColor rgb="FFDEEBF7"/>
      </patternFill>
    </fill>
    <fill>
      <patternFill patternType="solid">
        <fgColor rgb="FF00338D"/>
        <bgColor indexed="64"/>
      </patternFill>
    </fill>
    <fill>
      <patternFill patternType="solid">
        <fgColor theme="9" tint="0.59999389629810485"/>
        <bgColor rgb="FFFFFF00"/>
      </patternFill>
    </fill>
    <fill>
      <patternFill patternType="solid">
        <fgColor rgb="FFFFD966"/>
        <bgColor rgb="FFFFFF99"/>
      </patternFill>
    </fill>
    <fill>
      <patternFill patternType="solid">
        <fgColor theme="9"/>
        <bgColor indexed="64"/>
      </patternFill>
    </fill>
    <fill>
      <patternFill patternType="solid">
        <fgColor rgb="FFDFEBF5"/>
        <bgColor indexed="64"/>
      </patternFill>
    </fill>
  </fills>
  <borders count="23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diagonal/>
    </border>
    <border>
      <left style="medium">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bottom/>
      <diagonal/>
    </border>
    <border>
      <left style="hair">
        <color auto="1"/>
      </left>
      <right style="thin">
        <color auto="1"/>
      </right>
      <top/>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thin">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thin">
        <color auto="1"/>
      </right>
      <top style="medium">
        <color auto="1"/>
      </top>
      <bottom style="hair">
        <color auto="1"/>
      </bottom>
      <diagonal/>
    </border>
    <border>
      <left style="hair">
        <color auto="1"/>
      </left>
      <right style="hair">
        <color auto="1"/>
      </right>
      <top style="hair">
        <color auto="1"/>
      </top>
      <bottom style="medium">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style="thin">
        <color auto="1"/>
      </left>
      <right style="hair">
        <color auto="1"/>
      </right>
      <top style="hair">
        <color auto="1"/>
      </top>
      <bottom style="medium">
        <color auto="1"/>
      </bottom>
      <diagonal/>
    </border>
    <border>
      <left style="medium">
        <color auto="1"/>
      </left>
      <right/>
      <top style="hair">
        <color auto="1"/>
      </top>
      <bottom/>
      <diagonal/>
    </border>
    <border>
      <left style="medium">
        <color auto="1"/>
      </left>
      <right/>
      <top style="thin">
        <color auto="1"/>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right style="hair">
        <color auto="1"/>
      </right>
      <top style="hair">
        <color auto="1"/>
      </top>
      <bottom/>
      <diagonal/>
    </border>
    <border>
      <left/>
      <right style="hair">
        <color auto="1"/>
      </right>
      <top/>
      <bottom style="hair">
        <color auto="1"/>
      </bottom>
      <diagonal/>
    </border>
    <border>
      <left style="hair">
        <color auto="1"/>
      </left>
      <right/>
      <top style="thin">
        <color auto="1"/>
      </top>
      <bottom style="hair">
        <color auto="1"/>
      </bottom>
      <diagonal/>
    </border>
    <border>
      <left style="hair">
        <color auto="1"/>
      </left>
      <right/>
      <top/>
      <bottom style="hair">
        <color auto="1"/>
      </bottom>
      <diagonal/>
    </border>
    <border>
      <left style="hair">
        <color auto="1"/>
      </left>
      <right/>
      <top style="hair">
        <color auto="1"/>
      </top>
      <bottom style="hair">
        <color auto="1"/>
      </bottom>
      <diagonal/>
    </border>
    <border>
      <left style="hair">
        <color auto="1"/>
      </left>
      <right/>
      <top style="hair">
        <color auto="1"/>
      </top>
      <bottom/>
      <diagonal/>
    </border>
    <border>
      <left style="hair">
        <color auto="1"/>
      </left>
      <right/>
      <top style="hair">
        <color auto="1"/>
      </top>
      <bottom style="thin">
        <color auto="1"/>
      </bottom>
      <diagonal/>
    </border>
    <border>
      <left/>
      <right style="thin">
        <color auto="1"/>
      </right>
      <top style="thin">
        <color auto="1"/>
      </top>
      <bottom style="hair">
        <color auto="1"/>
      </bottom>
      <diagonal/>
    </border>
    <border>
      <left style="hair">
        <color auto="1"/>
      </left>
      <right style="thin">
        <color auto="1"/>
      </right>
      <top/>
      <bottom style="thin">
        <color auto="1"/>
      </bottom>
      <diagonal/>
    </border>
    <border>
      <left style="thin">
        <color auto="1"/>
      </left>
      <right style="hair">
        <color auto="1"/>
      </right>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style="hair">
        <color auto="1"/>
      </right>
      <top style="medium">
        <color auto="1"/>
      </top>
      <bottom style="hair">
        <color auto="1"/>
      </bottom>
      <diagonal/>
    </border>
    <border>
      <left style="medium">
        <color auto="1"/>
      </left>
      <right/>
      <top/>
      <bottom style="hair">
        <color auto="1"/>
      </bottom>
      <diagonal/>
    </border>
    <border>
      <left style="medium">
        <color auto="1"/>
      </left>
      <right/>
      <top style="medium">
        <color auto="1"/>
      </top>
      <bottom style="thin">
        <color auto="1"/>
      </bottom>
      <diagonal/>
    </border>
    <border>
      <left style="thin">
        <color auto="1"/>
      </left>
      <right style="hair">
        <color auto="1"/>
      </right>
      <top style="medium">
        <color auto="1"/>
      </top>
      <bottom style="thin">
        <color auto="1"/>
      </bottom>
      <diagonal/>
    </border>
    <border>
      <left style="hair">
        <color auto="1"/>
      </left>
      <right style="hair">
        <color auto="1"/>
      </right>
      <top style="medium">
        <color auto="1"/>
      </top>
      <bottom style="thin">
        <color auto="1"/>
      </bottom>
      <diagonal/>
    </border>
    <border>
      <left style="hair">
        <color auto="1"/>
      </left>
      <right style="medium">
        <color auto="1"/>
      </right>
      <top style="medium">
        <color auto="1"/>
      </top>
      <bottom style="thin">
        <color auto="1"/>
      </bottom>
      <diagonal/>
    </border>
    <border>
      <left style="hair">
        <color auto="1"/>
      </left>
      <right style="medium">
        <color auto="1"/>
      </right>
      <top style="hair">
        <color auto="1"/>
      </top>
      <bottom style="hair">
        <color auto="1"/>
      </bottom>
      <diagonal/>
    </border>
    <border>
      <left style="hair">
        <color auto="1"/>
      </left>
      <right style="medium">
        <color auto="1"/>
      </right>
      <top style="hair">
        <color auto="1"/>
      </top>
      <bottom/>
      <diagonal/>
    </border>
    <border>
      <left style="hair">
        <color auto="1"/>
      </left>
      <right style="medium">
        <color auto="1"/>
      </right>
      <top style="thin">
        <color auto="1"/>
      </top>
      <bottom style="hair">
        <color auto="1"/>
      </bottom>
      <diagonal/>
    </border>
    <border>
      <left style="hair">
        <color auto="1"/>
      </left>
      <right style="medium">
        <color auto="1"/>
      </right>
      <top style="hair">
        <color auto="1"/>
      </top>
      <bottom style="medium">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top/>
      <bottom/>
      <diagonal/>
    </border>
    <border>
      <left/>
      <right style="hair">
        <color auto="1"/>
      </right>
      <top style="hair">
        <color auto="1"/>
      </top>
      <bottom style="medium">
        <color auto="1"/>
      </bottom>
      <diagonal/>
    </border>
    <border>
      <left style="hair">
        <color auto="1"/>
      </left>
      <right style="thin">
        <color auto="1"/>
      </right>
      <top style="hair">
        <color auto="1"/>
      </top>
      <bottom style="medium">
        <color auto="1"/>
      </bottom>
      <diagonal/>
    </border>
    <border>
      <left style="hair">
        <color auto="1"/>
      </left>
      <right style="medium">
        <color auto="1"/>
      </right>
      <top/>
      <bottom style="hair">
        <color auto="1"/>
      </bottom>
      <diagonal/>
    </border>
    <border>
      <left style="medium">
        <color auto="1"/>
      </left>
      <right style="hair">
        <color auto="1"/>
      </right>
      <top style="medium">
        <color auto="1"/>
      </top>
      <bottom style="thin">
        <color auto="1"/>
      </bottom>
      <diagonal/>
    </border>
    <border>
      <left style="thin">
        <color indexed="64"/>
      </left>
      <right/>
      <top/>
      <bottom style="thin">
        <color indexed="64"/>
      </bottom>
      <diagonal/>
    </border>
    <border>
      <left style="hair">
        <color indexed="64"/>
      </left>
      <right style="medium">
        <color auto="1"/>
      </right>
      <top style="thin">
        <color auto="1"/>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hair">
        <color auto="1"/>
      </left>
      <right/>
      <top style="thin">
        <color auto="1"/>
      </top>
      <bottom style="thin">
        <color auto="1"/>
      </bottom>
      <diagonal/>
    </border>
    <border>
      <left/>
      <right style="hair">
        <color auto="1"/>
      </right>
      <top style="thin">
        <color auto="1"/>
      </top>
      <bottom style="thin">
        <color auto="1"/>
      </bottom>
      <diagonal/>
    </border>
    <border>
      <left style="medium">
        <color indexed="64"/>
      </left>
      <right style="thin">
        <color indexed="64"/>
      </right>
      <top style="hair">
        <color indexed="64"/>
      </top>
      <bottom style="thin">
        <color indexed="64"/>
      </bottom>
      <diagonal/>
    </border>
    <border>
      <left style="medium">
        <color auto="1"/>
      </left>
      <right style="thin">
        <color auto="1"/>
      </right>
      <top style="medium">
        <color auto="1"/>
      </top>
      <bottom style="hair">
        <color auto="1"/>
      </bottom>
      <diagonal/>
    </border>
    <border>
      <left style="hair">
        <color indexed="64"/>
      </left>
      <right style="medium">
        <color auto="1"/>
      </right>
      <top style="hair">
        <color indexed="64"/>
      </top>
      <bottom style="thin">
        <color indexed="64"/>
      </bottom>
      <diagonal/>
    </border>
    <border>
      <left style="thin">
        <color auto="1"/>
      </left>
      <right style="thin">
        <color auto="1"/>
      </right>
      <top style="medium">
        <color auto="1"/>
      </top>
      <bottom style="hair">
        <color auto="1"/>
      </bottom>
      <diagonal/>
    </border>
    <border>
      <left style="thin">
        <color auto="1"/>
      </left>
      <right/>
      <top style="medium">
        <color auto="1"/>
      </top>
      <bottom style="hair">
        <color auto="1"/>
      </bottom>
      <diagonal/>
    </border>
    <border>
      <left/>
      <right style="thin">
        <color auto="1"/>
      </right>
      <top style="medium">
        <color auto="1"/>
      </top>
      <bottom style="hair">
        <color auto="1"/>
      </bottom>
      <diagonal/>
    </border>
    <border>
      <left style="medium">
        <color auto="1"/>
      </left>
      <right style="hair">
        <color auto="1"/>
      </right>
      <top/>
      <bottom style="medium">
        <color auto="1"/>
      </bottom>
      <diagonal/>
    </border>
    <border>
      <left style="hair">
        <color auto="1"/>
      </left>
      <right style="medium">
        <color auto="1"/>
      </right>
      <top/>
      <bottom style="medium">
        <color auto="1"/>
      </bottom>
      <diagonal/>
    </border>
    <border>
      <left style="medium">
        <color indexed="64"/>
      </left>
      <right style="thin">
        <color indexed="64"/>
      </right>
      <top style="hair">
        <color indexed="64"/>
      </top>
      <bottom/>
      <diagonal/>
    </border>
    <border>
      <left style="thin">
        <color auto="1"/>
      </left>
      <right style="thin">
        <color auto="1"/>
      </right>
      <top style="hair">
        <color auto="1"/>
      </top>
      <bottom/>
      <diagonal/>
    </border>
    <border>
      <left style="medium">
        <color indexed="64"/>
      </left>
      <right style="thin">
        <color indexed="64"/>
      </right>
      <top style="thin">
        <color indexed="64"/>
      </top>
      <bottom style="medium">
        <color auto="1"/>
      </bottom>
      <diagonal/>
    </border>
    <border>
      <left/>
      <right style="hair">
        <color auto="1"/>
      </right>
      <top style="thin">
        <color indexed="64"/>
      </top>
      <bottom style="medium">
        <color auto="1"/>
      </bottom>
      <diagonal/>
    </border>
    <border>
      <left style="hair">
        <color auto="1"/>
      </left>
      <right style="thin">
        <color auto="1"/>
      </right>
      <top style="thin">
        <color indexed="64"/>
      </top>
      <bottom style="medium">
        <color auto="1"/>
      </bottom>
      <diagonal/>
    </border>
    <border>
      <left style="hair">
        <color auto="1"/>
      </left>
      <right style="medium">
        <color auto="1"/>
      </right>
      <top style="thin">
        <color indexed="64"/>
      </top>
      <bottom style="medium">
        <color auto="1"/>
      </bottom>
      <diagonal/>
    </border>
    <border>
      <left/>
      <right/>
      <top style="hair">
        <color auto="1"/>
      </top>
      <bottom style="thin">
        <color auto="1"/>
      </bottom>
      <diagonal/>
    </border>
    <border>
      <left/>
      <right/>
      <top style="hair">
        <color auto="1"/>
      </top>
      <bottom style="hair">
        <color auto="1"/>
      </bottom>
      <diagonal/>
    </border>
    <border>
      <left/>
      <right/>
      <top style="thin">
        <color indexed="64"/>
      </top>
      <bottom style="medium">
        <color indexed="64"/>
      </bottom>
      <diagonal/>
    </border>
    <border>
      <left/>
      <right/>
      <top style="medium">
        <color auto="1"/>
      </top>
      <bottom style="hair">
        <color auto="1"/>
      </bottom>
      <diagonal/>
    </border>
    <border>
      <left/>
      <right/>
      <top style="medium">
        <color auto="1"/>
      </top>
      <bottom style="thin">
        <color auto="1"/>
      </bottom>
      <diagonal/>
    </border>
    <border>
      <left/>
      <right style="hair">
        <color auto="1"/>
      </right>
      <top/>
      <bottom/>
      <diagonal/>
    </border>
    <border>
      <left style="hair">
        <color auto="1"/>
      </left>
      <right/>
      <top/>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hair">
        <color auto="1"/>
      </left>
      <right style="hair">
        <color auto="1"/>
      </right>
      <top/>
      <bottom/>
      <diagonal/>
    </border>
    <border>
      <left style="thin">
        <color auto="1"/>
      </left>
      <right style="hair">
        <color auto="1"/>
      </right>
      <top style="thin">
        <color indexed="64"/>
      </top>
      <bottom style="medium">
        <color auto="1"/>
      </bottom>
      <diagonal/>
    </border>
    <border>
      <left style="thin">
        <color indexed="64"/>
      </left>
      <right/>
      <top style="hair">
        <color auto="1"/>
      </top>
      <bottom style="hair">
        <color auto="1"/>
      </bottom>
      <diagonal/>
    </border>
    <border>
      <left/>
      <right style="thin">
        <color auto="1"/>
      </right>
      <top style="hair">
        <color auto="1"/>
      </top>
      <bottom style="hair">
        <color auto="1"/>
      </bottom>
      <diagonal/>
    </border>
    <border>
      <left style="hair">
        <color auto="1"/>
      </left>
      <right/>
      <top style="thin">
        <color auto="1"/>
      </top>
      <bottom/>
      <diagonal/>
    </border>
    <border>
      <left/>
      <right/>
      <top style="medium">
        <color indexed="64"/>
      </top>
      <bottom style="medium">
        <color indexed="64"/>
      </bottom>
      <diagonal/>
    </border>
    <border>
      <left/>
      <right style="hair">
        <color auto="1"/>
      </right>
      <top style="thin">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hair">
        <color auto="1"/>
      </left>
      <right style="hair">
        <color auto="1"/>
      </right>
      <top/>
      <bottom style="thin">
        <color indexed="64"/>
      </bottom>
      <diagonal/>
    </border>
    <border>
      <left style="thin">
        <color indexed="64"/>
      </left>
      <right style="thin">
        <color indexed="64"/>
      </right>
      <top/>
      <bottom style="thin">
        <color rgb="FF000000"/>
      </bottom>
      <diagonal/>
    </border>
    <border>
      <left/>
      <right style="thin">
        <color indexed="64"/>
      </right>
      <top/>
      <bottom style="hair">
        <color auto="1"/>
      </bottom>
      <diagonal/>
    </border>
    <border>
      <left/>
      <right style="thin">
        <color indexed="64"/>
      </right>
      <top style="hair">
        <color auto="1"/>
      </top>
      <bottom style="thin">
        <color indexed="64"/>
      </bottom>
      <diagonal/>
    </border>
    <border>
      <left style="medium">
        <color auto="1"/>
      </left>
      <right style="hair">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medium">
        <color auto="1"/>
      </left>
      <right style="hair">
        <color auto="1"/>
      </right>
      <top/>
      <bottom style="hair">
        <color auto="1"/>
      </bottom>
      <diagonal/>
    </border>
    <border>
      <left style="medium">
        <color auto="1"/>
      </left>
      <right style="hair">
        <color auto="1"/>
      </right>
      <top style="hair">
        <color auto="1"/>
      </top>
      <bottom/>
      <diagonal/>
    </border>
    <border>
      <left style="medium">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medium">
        <color auto="1"/>
      </left>
      <right style="hair">
        <color auto="1"/>
      </right>
      <top style="hair">
        <color auto="1"/>
      </top>
      <bottom style="thin">
        <color auto="1"/>
      </bottom>
      <diagonal/>
    </border>
    <border>
      <left style="medium">
        <color auto="1"/>
      </left>
      <right style="hair">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hair">
        <color auto="1"/>
      </top>
      <bottom style="hair">
        <color auto="1"/>
      </bottom>
      <diagonal/>
    </border>
    <border>
      <left/>
      <right style="thin">
        <color indexed="64"/>
      </right>
      <top style="medium">
        <color indexed="64"/>
      </top>
      <bottom style="thin">
        <color indexed="64"/>
      </bottom>
      <diagonal/>
    </border>
    <border>
      <left/>
      <right style="thin">
        <color indexed="64"/>
      </right>
      <top style="thin">
        <color indexed="64"/>
      </top>
      <bottom style="medium">
        <color auto="1"/>
      </bottom>
      <diagonal/>
    </border>
    <border>
      <left style="hair">
        <color auto="1"/>
      </left>
      <right/>
      <top style="medium">
        <color auto="1"/>
      </top>
      <bottom style="thin">
        <color auto="1"/>
      </bottom>
      <diagonal/>
    </border>
    <border>
      <left style="thin">
        <color indexed="64"/>
      </left>
      <right style="medium">
        <color indexed="64"/>
      </right>
      <top/>
      <bottom/>
      <diagonal/>
    </border>
    <border>
      <left style="thin">
        <color auto="1"/>
      </left>
      <right style="medium">
        <color auto="1"/>
      </right>
      <top style="medium">
        <color indexed="64"/>
      </top>
      <bottom style="medium">
        <color indexed="64"/>
      </bottom>
      <diagonal/>
    </border>
    <border>
      <left style="thin">
        <color auto="1"/>
      </left>
      <right style="medium">
        <color auto="1"/>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auto="1"/>
      </bottom>
      <diagonal/>
    </border>
    <border>
      <left/>
      <right style="thin">
        <color indexed="64"/>
      </right>
      <top style="medium">
        <color indexed="64"/>
      </top>
      <bottom/>
      <diagonal/>
    </border>
    <border>
      <left style="medium">
        <color auto="1"/>
      </left>
      <right/>
      <top/>
      <bottom style="thin">
        <color auto="1"/>
      </bottom>
      <diagonal/>
    </border>
    <border>
      <left style="thin">
        <color indexed="64"/>
      </left>
      <right style="medium">
        <color indexed="64"/>
      </right>
      <top/>
      <bottom style="thin">
        <color indexed="64"/>
      </bottom>
      <diagonal/>
    </border>
    <border>
      <left style="hair">
        <color auto="1"/>
      </left>
      <right/>
      <top style="hair">
        <color auto="1"/>
      </top>
      <bottom style="medium">
        <color auto="1"/>
      </bottom>
      <diagonal/>
    </border>
    <border>
      <left style="hair">
        <color auto="1"/>
      </left>
      <right style="medium">
        <color auto="1"/>
      </right>
      <top style="medium">
        <color auto="1"/>
      </top>
      <bottom/>
      <diagonal/>
    </border>
    <border>
      <left style="dashed">
        <color auto="1"/>
      </left>
      <right style="dashed">
        <color auto="1"/>
      </right>
      <top style="dashed">
        <color auto="1"/>
      </top>
      <bottom style="dashed">
        <color auto="1"/>
      </bottom>
      <diagonal/>
    </border>
    <border>
      <left style="medium">
        <color theme="4" tint="-0.499984740745262"/>
      </left>
      <right style="hair">
        <color theme="4" tint="-0.499984740745262"/>
      </right>
      <top style="medium">
        <color theme="4" tint="-0.499984740745262"/>
      </top>
      <bottom style="hair">
        <color theme="4" tint="-0.499984740745262"/>
      </bottom>
      <diagonal/>
    </border>
    <border>
      <left style="hair">
        <color theme="4" tint="-0.499984740745262"/>
      </left>
      <right style="hair">
        <color theme="4" tint="-0.499984740745262"/>
      </right>
      <top style="medium">
        <color theme="4" tint="-0.499984740745262"/>
      </top>
      <bottom style="hair">
        <color theme="4" tint="-0.499984740745262"/>
      </bottom>
      <diagonal/>
    </border>
    <border>
      <left style="hair">
        <color theme="4" tint="-0.499984740745262"/>
      </left>
      <right style="medium">
        <color theme="4" tint="-0.499984740745262"/>
      </right>
      <top style="medium">
        <color theme="4" tint="-0.499984740745262"/>
      </top>
      <bottom style="hair">
        <color theme="4" tint="-0.499984740745262"/>
      </bottom>
      <diagonal/>
    </border>
    <border>
      <left style="medium">
        <color theme="4" tint="-0.499984740745262"/>
      </left>
      <right style="hair">
        <color theme="4" tint="-0.499984740745262"/>
      </right>
      <top style="hair">
        <color theme="4" tint="-0.499984740745262"/>
      </top>
      <bottom style="hair">
        <color theme="4" tint="-0.499984740745262"/>
      </bottom>
      <diagonal/>
    </border>
    <border>
      <left style="hair">
        <color theme="4" tint="-0.499984740745262"/>
      </left>
      <right style="hair">
        <color theme="4" tint="-0.499984740745262"/>
      </right>
      <top style="hair">
        <color theme="4" tint="-0.499984740745262"/>
      </top>
      <bottom style="hair">
        <color theme="4" tint="-0.499984740745262"/>
      </bottom>
      <diagonal/>
    </border>
    <border>
      <left style="hair">
        <color theme="4" tint="-0.499984740745262"/>
      </left>
      <right style="medium">
        <color theme="4" tint="-0.499984740745262"/>
      </right>
      <top style="hair">
        <color theme="4" tint="-0.499984740745262"/>
      </top>
      <bottom style="hair">
        <color theme="4" tint="-0.499984740745262"/>
      </bottom>
      <diagonal/>
    </border>
    <border>
      <left style="medium">
        <color theme="4" tint="-0.499984740745262"/>
      </left>
      <right style="hair">
        <color theme="4" tint="-0.499984740745262"/>
      </right>
      <top style="hair">
        <color theme="4" tint="-0.499984740745262"/>
      </top>
      <bottom style="medium">
        <color theme="4" tint="-0.499984740745262"/>
      </bottom>
      <diagonal/>
    </border>
    <border>
      <left style="hair">
        <color theme="4" tint="-0.499984740745262"/>
      </left>
      <right style="hair">
        <color theme="4" tint="-0.499984740745262"/>
      </right>
      <top style="hair">
        <color theme="4" tint="-0.499984740745262"/>
      </top>
      <bottom style="medium">
        <color theme="4" tint="-0.499984740745262"/>
      </bottom>
      <diagonal/>
    </border>
    <border>
      <left style="hair">
        <color theme="4" tint="-0.499984740745262"/>
      </left>
      <right style="medium">
        <color theme="4" tint="-0.499984740745262"/>
      </right>
      <top style="hair">
        <color theme="4" tint="-0.499984740745262"/>
      </top>
      <bottom style="medium">
        <color theme="4" tint="-0.499984740745262"/>
      </bottom>
      <diagonal/>
    </border>
    <border>
      <left style="hair">
        <color theme="4" tint="-0.499984740745262"/>
      </left>
      <right style="hair">
        <color theme="4" tint="-0.499984740745262"/>
      </right>
      <top/>
      <bottom style="hair">
        <color theme="4" tint="-0.499984740745262"/>
      </bottom>
      <diagonal/>
    </border>
    <border>
      <left style="hair">
        <color theme="4" tint="-0.499984740745262"/>
      </left>
      <right style="medium">
        <color theme="4" tint="-0.499984740745262"/>
      </right>
      <top/>
      <bottom style="hair">
        <color theme="4" tint="-0.499984740745262"/>
      </bottom>
      <diagonal/>
    </border>
    <border>
      <left style="medium">
        <color theme="4" tint="-0.499984740745262"/>
      </left>
      <right style="hair">
        <color theme="4" tint="-0.499984740745262"/>
      </right>
      <top style="medium">
        <color theme="4" tint="-0.499984740745262"/>
      </top>
      <bottom style="thin">
        <color theme="4" tint="-0.499984740745262"/>
      </bottom>
      <diagonal/>
    </border>
    <border>
      <left style="hair">
        <color theme="4" tint="-0.499984740745262"/>
      </left>
      <right style="hair">
        <color theme="4" tint="-0.499984740745262"/>
      </right>
      <top style="medium">
        <color theme="4" tint="-0.499984740745262"/>
      </top>
      <bottom style="thin">
        <color theme="4" tint="-0.499984740745262"/>
      </bottom>
      <diagonal/>
    </border>
    <border>
      <left style="hair">
        <color theme="4" tint="-0.499984740745262"/>
      </left>
      <right style="medium">
        <color theme="4" tint="-0.499984740745262"/>
      </right>
      <top style="medium">
        <color theme="4" tint="-0.499984740745262"/>
      </top>
      <bottom style="thin">
        <color theme="4" tint="-0.499984740745262"/>
      </bottom>
      <diagonal/>
    </border>
    <border>
      <left style="medium">
        <color theme="4" tint="-0.499984740745262"/>
      </left>
      <right style="hair">
        <color theme="4" tint="-0.499984740745262"/>
      </right>
      <top style="thin">
        <color theme="4" tint="-0.499984740745262"/>
      </top>
      <bottom style="hair">
        <color theme="4" tint="-0.499984740745262"/>
      </bottom>
      <diagonal/>
    </border>
    <border>
      <left style="hair">
        <color theme="4" tint="-0.499984740745262"/>
      </left>
      <right style="hair">
        <color theme="4" tint="-0.499984740745262"/>
      </right>
      <top style="thin">
        <color theme="4" tint="-0.499984740745262"/>
      </top>
      <bottom style="hair">
        <color theme="4" tint="-0.499984740745262"/>
      </bottom>
      <diagonal/>
    </border>
    <border>
      <left style="hair">
        <color theme="4" tint="-0.499984740745262"/>
      </left>
      <right style="medium">
        <color theme="4" tint="-0.499984740745262"/>
      </right>
      <top style="thin">
        <color theme="4" tint="-0.499984740745262"/>
      </top>
      <bottom style="hair">
        <color theme="4" tint="-0.499984740745262"/>
      </bottom>
      <diagonal/>
    </border>
    <border>
      <left style="medium">
        <color auto="1"/>
      </left>
      <right style="hair">
        <color auto="1"/>
      </right>
      <top style="medium">
        <color auto="1"/>
      </top>
      <bottom/>
      <diagonal/>
    </border>
    <border>
      <left style="hair">
        <color auto="1"/>
      </left>
      <right style="hair">
        <color auto="1"/>
      </right>
      <top style="medium">
        <color auto="1"/>
      </top>
      <bottom/>
      <diagonal/>
    </border>
    <border>
      <left style="hair">
        <color auto="1"/>
      </left>
      <right style="hair">
        <color auto="1"/>
      </right>
      <top/>
      <bottom style="medium">
        <color auto="1"/>
      </bottom>
      <diagonal/>
    </border>
    <border>
      <left style="medium">
        <color auto="1"/>
      </left>
      <right style="hair">
        <color auto="1"/>
      </right>
      <top style="thin">
        <color auto="1"/>
      </top>
      <bottom style="hair">
        <color auto="1"/>
      </bottom>
      <diagonal/>
    </border>
    <border>
      <left style="hair">
        <color auto="1"/>
      </left>
      <right/>
      <top style="medium">
        <color auto="1"/>
      </top>
      <bottom style="hair">
        <color auto="1"/>
      </bottom>
      <diagonal/>
    </border>
    <border>
      <left style="hair">
        <color auto="1"/>
      </left>
      <right style="medium">
        <color auto="1"/>
      </right>
      <top style="medium">
        <color auto="1"/>
      </top>
      <bottom style="hair">
        <color auto="1"/>
      </bottom>
      <diagonal/>
    </border>
    <border>
      <left style="thin">
        <color auto="1"/>
      </left>
      <right style="medium">
        <color auto="1"/>
      </right>
      <top style="medium">
        <color auto="1"/>
      </top>
      <bottom style="hair">
        <color auto="1"/>
      </bottom>
      <diagonal/>
    </border>
    <border>
      <left style="medium">
        <color indexed="64"/>
      </left>
      <right style="thin">
        <color auto="1"/>
      </right>
      <top/>
      <bottom style="thin">
        <color auto="1"/>
      </bottom>
      <diagonal/>
    </border>
    <border>
      <left/>
      <right/>
      <top/>
      <bottom style="medium">
        <color rgb="FF00338D"/>
      </bottom>
      <diagonal/>
    </border>
    <border>
      <left/>
      <right style="thin">
        <color rgb="FF00338D"/>
      </right>
      <top/>
      <bottom/>
      <diagonal/>
    </border>
    <border>
      <left/>
      <right/>
      <top style="thin">
        <color rgb="FF00338D"/>
      </top>
      <bottom style="medium">
        <color rgb="FF00338D"/>
      </bottom>
      <diagonal/>
    </border>
    <border>
      <left/>
      <right style="thin">
        <color rgb="FF00338D"/>
      </right>
      <top style="thin">
        <color rgb="FF00338D"/>
      </top>
      <bottom style="medium">
        <color rgb="FF00338D"/>
      </bottom>
      <diagonal/>
    </border>
    <border>
      <left/>
      <right style="thin">
        <color theme="0"/>
      </right>
      <top/>
      <bottom/>
      <diagonal/>
    </border>
    <border>
      <left style="thin">
        <color theme="0"/>
      </left>
      <right/>
      <top/>
      <bottom/>
      <diagonal/>
    </border>
    <border>
      <left style="thin">
        <color rgb="FF00338D"/>
      </left>
      <right/>
      <top/>
      <bottom style="medium">
        <color rgb="FF00338D"/>
      </bottom>
      <diagonal/>
    </border>
    <border>
      <left style="thin">
        <color rgb="FF00338D"/>
      </left>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right style="medium">
        <color auto="1"/>
      </right>
      <top style="hair">
        <color auto="1"/>
      </top>
      <bottom style="medium">
        <color auto="1"/>
      </bottom>
      <diagonal/>
    </border>
    <border>
      <left style="hair">
        <color auto="1"/>
      </left>
      <right style="thin">
        <color auto="1"/>
      </right>
      <top style="medium">
        <color auto="1"/>
      </top>
      <bottom style="thin">
        <color auto="1"/>
      </bottom>
      <diagonal/>
    </border>
    <border>
      <left/>
      <right style="hair">
        <color auto="1"/>
      </right>
      <top style="medium">
        <color auto="1"/>
      </top>
      <bottom style="thin">
        <color auto="1"/>
      </bottom>
      <diagonal/>
    </border>
    <border>
      <left style="medium">
        <color auto="1"/>
      </left>
      <right style="hair">
        <color auto="1"/>
      </right>
      <top/>
      <bottom/>
      <diagonal/>
    </border>
    <border>
      <left style="hair">
        <color auto="1"/>
      </left>
      <right style="medium">
        <color auto="1"/>
      </right>
      <top/>
      <bottom/>
      <diagonal/>
    </border>
    <border>
      <left style="medium">
        <color auto="1"/>
      </left>
      <right style="thin">
        <color auto="1"/>
      </right>
      <top/>
      <bottom style="hair">
        <color auto="1"/>
      </bottom>
      <diagonal/>
    </border>
    <border>
      <left/>
      <right style="medium">
        <color auto="1"/>
      </right>
      <top style="medium">
        <color auto="1"/>
      </top>
      <bottom style="hair">
        <color auto="1"/>
      </bottom>
      <diagonal/>
    </border>
    <border>
      <left/>
      <right style="medium">
        <color auto="1"/>
      </right>
      <top style="thin">
        <color auto="1"/>
      </top>
      <bottom style="medium">
        <color auto="1"/>
      </bottom>
      <diagonal/>
    </border>
    <border>
      <left/>
      <right style="hair">
        <color theme="4" tint="-0.499984740745262"/>
      </right>
      <top style="medium">
        <color theme="4" tint="-0.499984740745262"/>
      </top>
      <bottom style="thin">
        <color theme="4" tint="-0.499984740745262"/>
      </bottom>
      <diagonal/>
    </border>
    <border>
      <left/>
      <right style="hair">
        <color theme="4" tint="-0.499984740745262"/>
      </right>
      <top style="hair">
        <color theme="4" tint="-0.499984740745262"/>
      </top>
      <bottom style="hair">
        <color theme="4" tint="-0.499984740745262"/>
      </bottom>
      <diagonal/>
    </border>
    <border>
      <left/>
      <right style="hair">
        <color theme="4" tint="-0.499984740745262"/>
      </right>
      <top style="thin">
        <color theme="4" tint="-0.499984740745262"/>
      </top>
      <bottom style="hair">
        <color theme="4" tint="-0.499984740745262"/>
      </bottom>
      <diagonal/>
    </border>
    <border>
      <left/>
      <right style="hair">
        <color theme="4" tint="-0.499984740745262"/>
      </right>
      <top style="hair">
        <color theme="4" tint="-0.499984740745262"/>
      </top>
      <bottom style="medium">
        <color theme="4" tint="-0.499984740745262"/>
      </bottom>
      <diagonal/>
    </border>
    <border>
      <left/>
      <right style="medium">
        <color indexed="64"/>
      </right>
      <top/>
      <bottom style="hair">
        <color auto="1"/>
      </bottom>
      <diagonal/>
    </border>
    <border>
      <left/>
      <right/>
      <top/>
      <bottom style="medium">
        <color rgb="FF0E57C4"/>
      </bottom>
      <diagonal/>
    </border>
    <border>
      <left/>
      <right/>
      <top style="double">
        <color indexed="64"/>
      </top>
      <bottom/>
      <diagonal/>
    </border>
    <border>
      <left/>
      <right/>
      <top style="medium">
        <color rgb="FF0E57C4"/>
      </top>
      <bottom/>
      <diagonal/>
    </border>
    <border>
      <left/>
      <right/>
      <top style="medium">
        <color indexed="64"/>
      </top>
      <bottom style="double">
        <color indexed="64"/>
      </bottom>
      <diagonal/>
    </border>
  </borders>
  <cellStyleXfs count="17">
    <xf numFmtId="0" fontId="0" fillId="0" borderId="0"/>
    <xf numFmtId="43" fontId="7" fillId="0" borderId="0" applyFont="0" applyFill="0" applyBorder="0" applyAlignment="0" applyProtection="0"/>
    <xf numFmtId="0" fontId="6" fillId="0" borderId="0"/>
    <xf numFmtId="165" fontId="7" fillId="0" borderId="0" applyFont="0" applyFill="0" applyBorder="0" applyAlignment="0" applyProtection="0"/>
    <xf numFmtId="0" fontId="9" fillId="0" borderId="0" applyNumberFormat="0" applyFill="0" applyBorder="0" applyAlignment="0" applyProtection="0"/>
    <xf numFmtId="0" fontId="25" fillId="0" borderId="0"/>
    <xf numFmtId="0" fontId="26" fillId="0" borderId="0" applyNumberFormat="0" applyFill="0" applyBorder="0" applyAlignment="0" applyProtection="0"/>
    <xf numFmtId="43" fontId="25" fillId="0" borderId="0" applyFont="0" applyFill="0" applyBorder="0" applyAlignment="0" applyProtection="0"/>
    <xf numFmtId="0" fontId="5" fillId="0" borderId="0"/>
    <xf numFmtId="9" fontId="7"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108" fillId="0" borderId="0"/>
    <xf numFmtId="0" fontId="2" fillId="0" borderId="0"/>
    <xf numFmtId="0" fontId="1" fillId="0" borderId="0"/>
    <xf numFmtId="0" fontId="125" fillId="0" borderId="0"/>
  </cellStyleXfs>
  <cellXfs count="1996">
    <xf numFmtId="0" fontId="0" fillId="0" borderId="0" xfId="0"/>
    <xf numFmtId="14" fontId="0" fillId="0" borderId="0" xfId="0" applyNumberFormat="1"/>
    <xf numFmtId="0" fontId="10" fillId="4" borderId="6" xfId="0" applyFont="1" applyFill="1" applyBorder="1" applyAlignment="1">
      <alignment vertical="center" wrapText="1"/>
    </xf>
    <xf numFmtId="0" fontId="10" fillId="7" borderId="6" xfId="0" applyFont="1" applyFill="1" applyBorder="1" applyAlignment="1">
      <alignment vertical="center" wrapText="1"/>
    </xf>
    <xf numFmtId="0" fontId="11" fillId="0" borderId="6" xfId="0" applyFont="1" applyBorder="1"/>
    <xf numFmtId="0" fontId="10" fillId="11" borderId="6" xfId="0" applyFont="1" applyFill="1" applyBorder="1" applyAlignment="1">
      <alignment vertical="center" wrapText="1"/>
    </xf>
    <xf numFmtId="0" fontId="10" fillId="3" borderId="6" xfId="0" applyFont="1" applyFill="1" applyBorder="1" applyAlignment="1">
      <alignment vertical="center" wrapText="1"/>
    </xf>
    <xf numFmtId="0" fontId="11" fillId="3" borderId="6" xfId="0" applyFont="1" applyFill="1" applyBorder="1" applyAlignment="1">
      <alignment wrapText="1"/>
    </xf>
    <xf numFmtId="0" fontId="0" fillId="0" borderId="21" xfId="0" applyBorder="1"/>
    <xf numFmtId="0" fontId="0" fillId="0" borderId="7" xfId="0" applyBorder="1"/>
    <xf numFmtId="0" fontId="0" fillId="0" borderId="6" xfId="0" applyBorder="1"/>
    <xf numFmtId="0" fontId="9" fillId="0" borderId="6" xfId="4" applyBorder="1"/>
    <xf numFmtId="0" fontId="0" fillId="0" borderId="1" xfId="0" applyBorder="1"/>
    <xf numFmtId="0" fontId="0" fillId="0" borderId="4" xfId="0" applyBorder="1"/>
    <xf numFmtId="0" fontId="9" fillId="0" borderId="4" xfId="4" applyBorder="1"/>
    <xf numFmtId="0" fontId="0" fillId="0" borderId="22" xfId="0" applyBorder="1"/>
    <xf numFmtId="166" fontId="12" fillId="0" borderId="6" xfId="0" applyNumberFormat="1" applyFont="1" applyBorder="1" applyAlignment="1">
      <alignment horizontal="right" vertical="center"/>
    </xf>
    <xf numFmtId="0" fontId="12" fillId="0" borderId="6" xfId="0" applyFont="1" applyBorder="1" applyAlignment="1">
      <alignment horizontal="right" vertical="center"/>
    </xf>
    <xf numFmtId="0" fontId="13" fillId="0" borderId="6" xfId="0" applyFont="1" applyBorder="1" applyAlignment="1">
      <alignment horizontal="center" vertical="center"/>
    </xf>
    <xf numFmtId="3" fontId="12" fillId="0" borderId="6" xfId="0" applyNumberFormat="1" applyFont="1" applyBorder="1" applyAlignment="1">
      <alignment horizontal="right" vertical="center"/>
    </xf>
    <xf numFmtId="0" fontId="13" fillId="12" borderId="6" xfId="0" applyFont="1" applyFill="1" applyBorder="1" applyAlignment="1">
      <alignment horizontal="center" vertical="center" wrapText="1"/>
    </xf>
    <xf numFmtId="0" fontId="13" fillId="12" borderId="6" xfId="0" applyFont="1" applyFill="1" applyBorder="1" applyAlignment="1">
      <alignment horizontal="center" vertical="center"/>
    </xf>
    <xf numFmtId="0" fontId="18" fillId="0" borderId="0" xfId="0" applyFont="1"/>
    <xf numFmtId="0" fontId="11" fillId="0" borderId="0" xfId="0" applyFont="1"/>
    <xf numFmtId="9" fontId="18" fillId="0" borderId="0" xfId="0" applyNumberFormat="1" applyFont="1"/>
    <xf numFmtId="0" fontId="18" fillId="0" borderId="6" xfId="0" applyFont="1" applyBorder="1"/>
    <xf numFmtId="9" fontId="18" fillId="0" borderId="6" xfId="0" applyNumberFormat="1" applyFont="1" applyBorder="1"/>
    <xf numFmtId="0" fontId="20" fillId="0" borderId="6" xfId="4" applyFont="1" applyBorder="1"/>
    <xf numFmtId="0" fontId="18" fillId="14" borderId="6" xfId="0" applyFont="1" applyFill="1" applyBorder="1"/>
    <xf numFmtId="9" fontId="18" fillId="14" borderId="6" xfId="0" applyNumberFormat="1" applyFont="1" applyFill="1" applyBorder="1"/>
    <xf numFmtId="0" fontId="18" fillId="6" borderId="6" xfId="0" applyFont="1" applyFill="1" applyBorder="1"/>
    <xf numFmtId="0" fontId="18" fillId="9" borderId="6" xfId="0" applyFont="1" applyFill="1" applyBorder="1"/>
    <xf numFmtId="0" fontId="18" fillId="0" borderId="6" xfId="0" applyFont="1" applyBorder="1" applyAlignment="1">
      <alignment wrapText="1"/>
    </xf>
    <xf numFmtId="165" fontId="18" fillId="0" borderId="6" xfId="3" applyFont="1" applyBorder="1"/>
    <xf numFmtId="10" fontId="18" fillId="12" borderId="6" xfId="0" applyNumberFormat="1" applyFont="1" applyFill="1" applyBorder="1"/>
    <xf numFmtId="9" fontId="18" fillId="0" borderId="6" xfId="0" applyNumberFormat="1" applyFont="1" applyBorder="1" applyAlignment="1">
      <alignment wrapText="1"/>
    </xf>
    <xf numFmtId="0" fontId="18" fillId="14" borderId="6" xfId="0" applyFont="1" applyFill="1" applyBorder="1" applyAlignment="1">
      <alignment wrapText="1"/>
    </xf>
    <xf numFmtId="0" fontId="18" fillId="6" borderId="6" xfId="0" applyFont="1" applyFill="1" applyBorder="1" applyAlignment="1">
      <alignment wrapText="1"/>
    </xf>
    <xf numFmtId="10" fontId="18" fillId="6" borderId="6" xfId="0" applyNumberFormat="1" applyFont="1" applyFill="1" applyBorder="1"/>
    <xf numFmtId="164" fontId="18" fillId="0" borderId="6" xfId="3" applyNumberFormat="1" applyFont="1" applyBorder="1"/>
    <xf numFmtId="1" fontId="18" fillId="12" borderId="6" xfId="0" applyNumberFormat="1" applyFont="1" applyFill="1" applyBorder="1"/>
    <xf numFmtId="1" fontId="18" fillId="6" borderId="6" xfId="0" applyNumberFormat="1" applyFont="1" applyFill="1" applyBorder="1"/>
    <xf numFmtId="1" fontId="18" fillId="14" borderId="6" xfId="0" applyNumberFormat="1" applyFont="1" applyFill="1" applyBorder="1"/>
    <xf numFmtId="1" fontId="18" fillId="12" borderId="6" xfId="0" applyNumberFormat="1" applyFont="1" applyFill="1" applyBorder="1" applyAlignment="1">
      <alignment horizontal="right"/>
    </xf>
    <xf numFmtId="16" fontId="18" fillId="0" borderId="6" xfId="3" applyNumberFormat="1" applyFont="1" applyBorder="1" applyAlignment="1">
      <alignment horizontal="right"/>
    </xf>
    <xf numFmtId="0" fontId="18" fillId="12" borderId="6" xfId="0" applyFont="1" applyFill="1" applyBorder="1"/>
    <xf numFmtId="168" fontId="18" fillId="0" borderId="0" xfId="0" applyNumberFormat="1" applyFont="1"/>
    <xf numFmtId="0" fontId="11" fillId="0" borderId="3" xfId="0" applyFont="1" applyBorder="1"/>
    <xf numFmtId="0" fontId="23" fillId="0" borderId="6" xfId="4" applyFont="1" applyBorder="1"/>
    <xf numFmtId="0" fontId="11" fillId="0" borderId="1" xfId="0" applyFont="1" applyBorder="1"/>
    <xf numFmtId="0" fontId="11" fillId="3" borderId="3" xfId="0" applyFont="1" applyFill="1" applyBorder="1"/>
    <xf numFmtId="0" fontId="11" fillId="3" borderId="6" xfId="0" applyFont="1" applyFill="1" applyBorder="1"/>
    <xf numFmtId="0" fontId="11" fillId="0" borderId="8" xfId="0" applyFont="1" applyBorder="1"/>
    <xf numFmtId="0" fontId="11" fillId="0" borderId="4" xfId="0" applyFont="1" applyBorder="1"/>
    <xf numFmtId="0" fontId="23" fillId="0" borderId="4" xfId="4" applyFont="1" applyBorder="1"/>
    <xf numFmtId="0" fontId="11" fillId="0" borderId="22" xfId="0" applyFont="1" applyBorder="1"/>
    <xf numFmtId="0" fontId="11" fillId="10" borderId="6" xfId="0" applyFont="1" applyFill="1" applyBorder="1"/>
    <xf numFmtId="0" fontId="21" fillId="0" borderId="0" xfId="0" applyFont="1"/>
    <xf numFmtId="0" fontId="18" fillId="2" borderId="0" xfId="0" applyFont="1" applyFill="1"/>
    <xf numFmtId="0" fontId="18" fillId="0" borderId="0" xfId="0" applyFont="1" applyAlignment="1">
      <alignment horizontal="left" indent="1"/>
    </xf>
    <xf numFmtId="0" fontId="27" fillId="0" borderId="0" xfId="5" applyFont="1"/>
    <xf numFmtId="0" fontId="28" fillId="0" borderId="0" xfId="5" applyFont="1"/>
    <xf numFmtId="0" fontId="29" fillId="0" borderId="0" xfId="5" applyFont="1"/>
    <xf numFmtId="0" fontId="30" fillId="0" borderId="0" xfId="6" applyFont="1"/>
    <xf numFmtId="0" fontId="31" fillId="0" borderId="0" xfId="5" applyFont="1"/>
    <xf numFmtId="170" fontId="0" fillId="0" borderId="0" xfId="7" applyNumberFormat="1" applyFont="1"/>
    <xf numFmtId="0" fontId="36" fillId="0" borderId="0" xfId="5" applyFont="1"/>
    <xf numFmtId="0" fontId="37" fillId="0" borderId="0" xfId="5" applyFont="1"/>
    <xf numFmtId="0" fontId="35" fillId="0" borderId="0" xfId="5" applyFont="1"/>
    <xf numFmtId="0" fontId="38" fillId="0" borderId="0" xfId="6" applyFont="1"/>
    <xf numFmtId="169" fontId="36" fillId="0" borderId="0" xfId="5" applyNumberFormat="1" applyFont="1"/>
    <xf numFmtId="0" fontId="32" fillId="0" borderId="6" xfId="5" applyFont="1" applyBorder="1"/>
    <xf numFmtId="0" fontId="34" fillId="0" borderId="6" xfId="5" applyFont="1" applyBorder="1"/>
    <xf numFmtId="169" fontId="35" fillId="0" borderId="6" xfId="5" applyNumberFormat="1" applyFont="1" applyBorder="1"/>
    <xf numFmtId="0" fontId="33" fillId="0" borderId="6" xfId="5" applyFont="1" applyBorder="1"/>
    <xf numFmtId="170" fontId="21" fillId="0" borderId="6" xfId="7" applyNumberFormat="1" applyFont="1" applyBorder="1"/>
    <xf numFmtId="170" fontId="34" fillId="0" borderId="6" xfId="7" applyNumberFormat="1" applyFont="1" applyBorder="1"/>
    <xf numFmtId="167" fontId="34" fillId="0" borderId="6" xfId="7" applyNumberFormat="1" applyFont="1" applyBorder="1"/>
    <xf numFmtId="167" fontId="33" fillId="0" borderId="6" xfId="7" applyNumberFormat="1" applyFont="1" applyBorder="1"/>
    <xf numFmtId="169" fontId="34" fillId="0" borderId="6" xfId="7" applyNumberFormat="1" applyFont="1" applyBorder="1"/>
    <xf numFmtId="169" fontId="21" fillId="0" borderId="6" xfId="7" applyNumberFormat="1" applyFont="1" applyBorder="1"/>
    <xf numFmtId="0" fontId="36" fillId="0" borderId="6" xfId="5" applyFont="1" applyBorder="1"/>
    <xf numFmtId="0" fontId="35" fillId="0" borderId="6" xfId="5" applyFont="1" applyBorder="1"/>
    <xf numFmtId="0" fontId="39" fillId="0" borderId="6" xfId="5" applyFont="1" applyBorder="1"/>
    <xf numFmtId="169" fontId="39" fillId="0" borderId="6" xfId="5" applyNumberFormat="1" applyFont="1" applyBorder="1"/>
    <xf numFmtId="0" fontId="33" fillId="0" borderId="0" xfId="5" applyFont="1"/>
    <xf numFmtId="0" fontId="33" fillId="0" borderId="6" xfId="5" applyFont="1" applyBorder="1" applyAlignment="1">
      <alignment horizontal="left"/>
    </xf>
    <xf numFmtId="171" fontId="18" fillId="11" borderId="0" xfId="0" applyNumberFormat="1" applyFont="1" applyFill="1"/>
    <xf numFmtId="171" fontId="18" fillId="0" borderId="0" xfId="0" applyNumberFormat="1" applyFont="1"/>
    <xf numFmtId="0" fontId="36" fillId="0" borderId="1" xfId="5" applyFont="1" applyBorder="1"/>
    <xf numFmtId="0" fontId="34" fillId="0" borderId="1" xfId="5" applyFont="1" applyBorder="1"/>
    <xf numFmtId="169" fontId="35" fillId="0" borderId="3" xfId="5" applyNumberFormat="1" applyFont="1" applyBorder="1"/>
    <xf numFmtId="0" fontId="32" fillId="0" borderId="4" xfId="5" applyFont="1" applyBorder="1"/>
    <xf numFmtId="0" fontId="33" fillId="0" borderId="7" xfId="5" applyFont="1" applyBorder="1"/>
    <xf numFmtId="0" fontId="34" fillId="0" borderId="6" xfId="5" applyFont="1" applyBorder="1" applyAlignment="1">
      <alignment vertical="top" wrapText="1"/>
    </xf>
    <xf numFmtId="0" fontId="34" fillId="0" borderId="6" xfId="5" applyFont="1" applyBorder="1" applyAlignment="1">
      <alignment vertical="top"/>
    </xf>
    <xf numFmtId="0" fontId="27" fillId="0" borderId="6" xfId="5" applyFont="1" applyBorder="1"/>
    <xf numFmtId="0" fontId="28" fillId="0" borderId="6" xfId="5" applyFont="1" applyBorder="1"/>
    <xf numFmtId="167" fontId="35" fillId="0" borderId="6" xfId="5" applyNumberFormat="1" applyFont="1" applyBorder="1"/>
    <xf numFmtId="167" fontId="21" fillId="0" borderId="6" xfId="7" applyNumberFormat="1" applyFont="1" applyBorder="1"/>
    <xf numFmtId="167" fontId="33" fillId="0" borderId="6" xfId="5" applyNumberFormat="1" applyFont="1" applyBorder="1"/>
    <xf numFmtId="169" fontId="33" fillId="0" borderId="6" xfId="5" applyNumberFormat="1" applyFont="1" applyBorder="1"/>
    <xf numFmtId="0" fontId="34" fillId="0" borderId="4" xfId="5" applyFont="1" applyBorder="1" applyAlignment="1">
      <alignment vertical="top" wrapText="1"/>
    </xf>
    <xf numFmtId="0" fontId="34" fillId="0" borderId="5" xfId="5" applyFont="1" applyBorder="1" applyAlignment="1">
      <alignment vertical="top"/>
    </xf>
    <xf numFmtId="0" fontId="34" fillId="0" borderId="7" xfId="5" applyFont="1" applyBorder="1" applyAlignment="1">
      <alignment vertical="top"/>
    </xf>
    <xf numFmtId="167" fontId="32" fillId="0" borderId="6" xfId="5" applyNumberFormat="1" applyFont="1" applyBorder="1"/>
    <xf numFmtId="0" fontId="21" fillId="0" borderId="6" xfId="5" applyFont="1" applyBorder="1"/>
    <xf numFmtId="169" fontId="35" fillId="12" borderId="6" xfId="5" applyNumberFormat="1" applyFont="1" applyFill="1" applyBorder="1"/>
    <xf numFmtId="169" fontId="35" fillId="2" borderId="6" xfId="5" applyNumberFormat="1" applyFont="1" applyFill="1" applyBorder="1"/>
    <xf numFmtId="170" fontId="33" fillId="0" borderId="6" xfId="7" applyNumberFormat="1" applyFont="1" applyBorder="1"/>
    <xf numFmtId="171" fontId="18" fillId="2" borderId="0" xfId="0" applyNumberFormat="1" applyFont="1" applyFill="1"/>
    <xf numFmtId="0" fontId="41" fillId="0" borderId="0" xfId="5" applyFont="1"/>
    <xf numFmtId="0" fontId="42" fillId="0" borderId="0" xfId="5" applyFont="1"/>
    <xf numFmtId="0" fontId="43" fillId="0" borderId="0" xfId="6" applyFont="1"/>
    <xf numFmtId="0" fontId="44" fillId="0" borderId="0" xfId="5" applyFont="1"/>
    <xf numFmtId="0" fontId="41" fillId="0" borderId="6" xfId="5" applyFont="1" applyBorder="1"/>
    <xf numFmtId="0" fontId="42" fillId="0" borderId="6" xfId="5" applyFont="1" applyBorder="1"/>
    <xf numFmtId="167" fontId="41" fillId="0" borderId="6" xfId="5" applyNumberFormat="1" applyFont="1" applyBorder="1"/>
    <xf numFmtId="167" fontId="42" fillId="0" borderId="6" xfId="5" applyNumberFormat="1" applyFont="1" applyBorder="1"/>
    <xf numFmtId="169" fontId="34" fillId="11" borderId="6" xfId="7" applyNumberFormat="1" applyFont="1" applyFill="1" applyBorder="1"/>
    <xf numFmtId="169" fontId="34" fillId="2" borderId="6" xfId="7" applyNumberFormat="1" applyFont="1" applyFill="1" applyBorder="1"/>
    <xf numFmtId="168" fontId="21" fillId="0" borderId="0" xfId="0" applyNumberFormat="1" applyFont="1"/>
    <xf numFmtId="168" fontId="18" fillId="0" borderId="14" xfId="0" applyNumberFormat="1" applyFont="1" applyBorder="1"/>
    <xf numFmtId="0" fontId="18" fillId="0" borderId="27" xfId="0" applyFont="1" applyBorder="1"/>
    <xf numFmtId="0" fontId="45" fillId="0" borderId="0" xfId="0" applyFont="1"/>
    <xf numFmtId="0" fontId="46" fillId="0" borderId="0" xfId="0" applyFont="1"/>
    <xf numFmtId="0" fontId="18" fillId="0" borderId="32" xfId="0" applyFont="1" applyBorder="1"/>
    <xf numFmtId="0" fontId="18" fillId="0" borderId="40" xfId="0" applyFont="1" applyBorder="1"/>
    <xf numFmtId="0" fontId="18" fillId="0" borderId="33" xfId="0" applyFont="1" applyBorder="1"/>
    <xf numFmtId="0" fontId="48" fillId="0" borderId="50" xfId="0" applyFont="1" applyBorder="1" applyAlignment="1">
      <alignment vertical="center" wrapText="1"/>
    </xf>
    <xf numFmtId="168" fontId="48" fillId="0" borderId="25" xfId="0" applyNumberFormat="1" applyFont="1" applyBorder="1" applyAlignment="1">
      <alignment horizontal="right" vertical="center" wrapText="1"/>
    </xf>
    <xf numFmtId="168" fontId="48" fillId="0" borderId="31" xfId="0" applyNumberFormat="1" applyFont="1" applyBorder="1" applyAlignment="1">
      <alignment horizontal="right" vertical="center" wrapText="1"/>
    </xf>
    <xf numFmtId="168" fontId="48" fillId="0" borderId="31" xfId="0" applyNumberFormat="1" applyFont="1" applyBorder="1" applyAlignment="1">
      <alignment horizontal="right" vertical="center"/>
    </xf>
    <xf numFmtId="168" fontId="48" fillId="0" borderId="31" xfId="0" applyNumberFormat="1" applyFont="1" applyBorder="1" applyAlignment="1">
      <alignment horizontal="right"/>
    </xf>
    <xf numFmtId="0" fontId="24" fillId="16" borderId="25" xfId="0" applyFont="1" applyFill="1" applyBorder="1"/>
    <xf numFmtId="0" fontId="24" fillId="16" borderId="31" xfId="0" applyFont="1" applyFill="1" applyBorder="1"/>
    <xf numFmtId="0" fontId="22" fillId="5" borderId="32" xfId="0" applyFont="1" applyFill="1" applyBorder="1"/>
    <xf numFmtId="0" fontId="22" fillId="5" borderId="33" xfId="0" applyFont="1" applyFill="1" applyBorder="1"/>
    <xf numFmtId="0" fontId="18" fillId="5" borderId="33" xfId="0" applyFont="1" applyFill="1" applyBorder="1"/>
    <xf numFmtId="168" fontId="21" fillId="5" borderId="33" xfId="0" applyNumberFormat="1" applyFont="1" applyFill="1" applyBorder="1"/>
    <xf numFmtId="168" fontId="21" fillId="5" borderId="34" xfId="0" applyNumberFormat="1" applyFont="1" applyFill="1" applyBorder="1"/>
    <xf numFmtId="168" fontId="18" fillId="3" borderId="33" xfId="0" applyNumberFormat="1" applyFont="1" applyFill="1" applyBorder="1"/>
    <xf numFmtId="168" fontId="18" fillId="0" borderId="33" xfId="0" applyNumberFormat="1" applyFont="1" applyBorder="1"/>
    <xf numFmtId="0" fontId="18" fillId="3" borderId="33" xfId="0" applyFont="1" applyFill="1" applyBorder="1"/>
    <xf numFmtId="0" fontId="18" fillId="0" borderId="35" xfId="0" applyFont="1" applyBorder="1"/>
    <xf numFmtId="168" fontId="18" fillId="3" borderId="35" xfId="0" applyNumberFormat="1" applyFont="1" applyFill="1" applyBorder="1"/>
    <xf numFmtId="0" fontId="18" fillId="0" borderId="36" xfId="0" applyFont="1" applyBorder="1"/>
    <xf numFmtId="0" fontId="18" fillId="0" borderId="37" xfId="0" applyFont="1" applyBorder="1"/>
    <xf numFmtId="168" fontId="18" fillId="0" borderId="37" xfId="0" applyNumberFormat="1" applyFont="1" applyBorder="1"/>
    <xf numFmtId="168" fontId="24" fillId="16" borderId="31" xfId="0" applyNumberFormat="1" applyFont="1" applyFill="1" applyBorder="1"/>
    <xf numFmtId="168" fontId="24" fillId="16" borderId="26" xfId="0" applyNumberFormat="1" applyFont="1" applyFill="1" applyBorder="1"/>
    <xf numFmtId="168" fontId="32" fillId="5" borderId="34" xfId="0" applyNumberFormat="1" applyFont="1" applyFill="1" applyBorder="1"/>
    <xf numFmtId="168" fontId="32" fillId="5" borderId="38" xfId="0" applyNumberFormat="1" applyFont="1" applyFill="1" applyBorder="1"/>
    <xf numFmtId="168" fontId="32" fillId="5" borderId="28" xfId="0" applyNumberFormat="1" applyFont="1" applyFill="1" applyBorder="1"/>
    <xf numFmtId="0" fontId="18" fillId="0" borderId="34" xfId="0" applyFont="1" applyBorder="1"/>
    <xf numFmtId="0" fontId="18" fillId="0" borderId="28" xfId="0" applyFont="1" applyBorder="1"/>
    <xf numFmtId="169" fontId="35" fillId="17" borderId="6" xfId="5" applyNumberFormat="1" applyFont="1" applyFill="1" applyBorder="1"/>
    <xf numFmtId="0" fontId="48" fillId="0" borderId="0" xfId="0" applyFont="1" applyAlignment="1">
      <alignment vertical="center" wrapText="1"/>
    </xf>
    <xf numFmtId="0" fontId="50" fillId="0" borderId="0" xfId="5" applyFont="1"/>
    <xf numFmtId="0" fontId="51" fillId="0" borderId="0" xfId="5" applyFont="1"/>
    <xf numFmtId="0" fontId="52" fillId="0" borderId="0" xfId="5" applyFont="1"/>
    <xf numFmtId="0" fontId="50" fillId="0" borderId="6" xfId="5" applyFont="1" applyBorder="1"/>
    <xf numFmtId="0" fontId="51" fillId="0" borderId="6" xfId="5" applyFont="1" applyBorder="1"/>
    <xf numFmtId="168" fontId="18" fillId="3" borderId="37" xfId="0" applyNumberFormat="1" applyFont="1" applyFill="1" applyBorder="1"/>
    <xf numFmtId="0" fontId="18" fillId="0" borderId="53" xfId="0" applyFont="1" applyBorder="1"/>
    <xf numFmtId="0" fontId="34" fillId="0" borderId="3" xfId="5" applyFont="1" applyBorder="1"/>
    <xf numFmtId="167" fontId="34" fillId="0" borderId="6" xfId="7" applyNumberFormat="1" applyFont="1" applyFill="1" applyBorder="1"/>
    <xf numFmtId="0" fontId="18" fillId="0" borderId="6" xfId="0" applyFont="1" applyBorder="1" applyAlignment="1">
      <alignment horizontal="right"/>
    </xf>
    <xf numFmtId="169" fontId="35" fillId="11" borderId="6" xfId="5" applyNumberFormat="1" applyFont="1" applyFill="1" applyBorder="1"/>
    <xf numFmtId="171" fontId="18" fillId="11" borderId="0" xfId="3" applyNumberFormat="1" applyFont="1" applyFill="1"/>
    <xf numFmtId="0" fontId="34" fillId="0" borderId="3" xfId="5" applyFont="1" applyBorder="1" applyAlignment="1">
      <alignment vertical="top" wrapText="1"/>
    </xf>
    <xf numFmtId="167" fontId="34" fillId="17" borderId="6" xfId="7" applyNumberFormat="1" applyFont="1" applyFill="1" applyBorder="1"/>
    <xf numFmtId="167" fontId="35" fillId="10" borderId="6" xfId="5" applyNumberFormat="1" applyFont="1" applyFill="1" applyBorder="1"/>
    <xf numFmtId="0" fontId="18" fillId="0" borderId="0" xfId="0" applyFont="1" applyAlignment="1">
      <alignment wrapText="1"/>
    </xf>
    <xf numFmtId="0" fontId="18" fillId="0" borderId="63" xfId="0" applyFont="1" applyBorder="1"/>
    <xf numFmtId="0" fontId="18" fillId="0" borderId="64" xfId="0" applyFont="1" applyBorder="1"/>
    <xf numFmtId="0" fontId="18" fillId="0" borderId="65" xfId="0" applyFont="1" applyBorder="1"/>
    <xf numFmtId="0" fontId="18" fillId="0" borderId="66" xfId="0" applyFont="1" applyBorder="1"/>
    <xf numFmtId="0" fontId="21" fillId="9" borderId="68" xfId="0" applyFont="1" applyFill="1" applyBorder="1"/>
    <xf numFmtId="0" fontId="21" fillId="9" borderId="69" xfId="0" applyFont="1" applyFill="1" applyBorder="1"/>
    <xf numFmtId="0" fontId="21" fillId="9" borderId="70" xfId="0" applyFont="1" applyFill="1" applyBorder="1"/>
    <xf numFmtId="168" fontId="18" fillId="0" borderId="35" xfId="0" applyNumberFormat="1" applyFont="1" applyBorder="1"/>
    <xf numFmtId="168" fontId="18" fillId="0" borderId="40" xfId="0" applyNumberFormat="1" applyFont="1" applyBorder="1"/>
    <xf numFmtId="168" fontId="18" fillId="0" borderId="41" xfId="0" applyNumberFormat="1" applyFont="1" applyBorder="1"/>
    <xf numFmtId="168" fontId="18" fillId="0" borderId="54" xfId="0" applyNumberFormat="1" applyFont="1" applyBorder="1"/>
    <xf numFmtId="0" fontId="21" fillId="9" borderId="6" xfId="0" applyFont="1" applyFill="1" applyBorder="1"/>
    <xf numFmtId="0" fontId="53" fillId="0" borderId="0" xfId="0" applyFont="1"/>
    <xf numFmtId="0" fontId="54" fillId="0" borderId="0" xfId="0" applyFont="1"/>
    <xf numFmtId="169" fontId="35" fillId="3" borderId="6" xfId="5" applyNumberFormat="1" applyFont="1" applyFill="1" applyBorder="1"/>
    <xf numFmtId="0" fontId="34" fillId="0" borderId="3" xfId="5" applyFont="1" applyBorder="1" applyAlignment="1">
      <alignment vertical="top"/>
    </xf>
    <xf numFmtId="168" fontId="18" fillId="0" borderId="32" xfId="0" applyNumberFormat="1" applyFont="1" applyBorder="1"/>
    <xf numFmtId="0" fontId="0" fillId="0" borderId="51" xfId="0" applyBorder="1"/>
    <xf numFmtId="0" fontId="0" fillId="0" borderId="52" xfId="0" applyBorder="1"/>
    <xf numFmtId="0" fontId="0" fillId="0" borderId="67" xfId="0" applyBorder="1"/>
    <xf numFmtId="0" fontId="18" fillId="0" borderId="68" xfId="0" applyFont="1" applyBorder="1"/>
    <xf numFmtId="0" fontId="18" fillId="0" borderId="69" xfId="0" applyFont="1" applyBorder="1"/>
    <xf numFmtId="0" fontId="18" fillId="0" borderId="70" xfId="0" applyFont="1" applyBorder="1"/>
    <xf numFmtId="168" fontId="18" fillId="0" borderId="27" xfId="0" applyNumberFormat="1" applyFont="1" applyBorder="1"/>
    <xf numFmtId="0" fontId="18" fillId="11" borderId="0" xfId="0" applyFont="1" applyFill="1"/>
    <xf numFmtId="0" fontId="9" fillId="0" borderId="0" xfId="4"/>
    <xf numFmtId="0" fontId="8" fillId="0" borderId="0" xfId="5" applyFont="1"/>
    <xf numFmtId="169" fontId="35" fillId="0" borderId="0" xfId="5" applyNumberFormat="1" applyFont="1"/>
    <xf numFmtId="0" fontId="8" fillId="0" borderId="6" xfId="5" applyFont="1" applyBorder="1" applyAlignment="1">
      <alignment horizontal="left"/>
    </xf>
    <xf numFmtId="0" fontId="8" fillId="0" borderId="1" xfId="5" applyFont="1" applyBorder="1"/>
    <xf numFmtId="0" fontId="8" fillId="0" borderId="6" xfId="5" applyFont="1" applyBorder="1"/>
    <xf numFmtId="174" fontId="34" fillId="0" borderId="6" xfId="7" applyNumberFormat="1" applyFont="1" applyBorder="1"/>
    <xf numFmtId="169" fontId="8" fillId="0" borderId="0" xfId="5" applyNumberFormat="1" applyFont="1"/>
    <xf numFmtId="167" fontId="34" fillId="2" borderId="6" xfId="7" applyNumberFormat="1" applyFont="1" applyFill="1" applyBorder="1"/>
    <xf numFmtId="170" fontId="34" fillId="2" borderId="6" xfId="7" applyNumberFormat="1" applyFont="1" applyFill="1" applyBorder="1"/>
    <xf numFmtId="0" fontId="49" fillId="0" borderId="72" xfId="0" applyFont="1" applyBorder="1" applyAlignment="1">
      <alignment horizontal="left" vertical="center" wrapText="1"/>
    </xf>
    <xf numFmtId="168" fontId="49" fillId="0" borderId="25" xfId="0" applyNumberFormat="1" applyFont="1" applyBorder="1" applyAlignment="1">
      <alignment horizontal="right" vertical="center" wrapText="1"/>
    </xf>
    <xf numFmtId="168" fontId="49" fillId="0" borderId="31" xfId="0" applyNumberFormat="1" applyFont="1" applyBorder="1" applyAlignment="1">
      <alignment horizontal="right" vertical="center" wrapText="1"/>
    </xf>
    <xf numFmtId="168" fontId="49" fillId="0" borderId="79" xfId="0" applyNumberFormat="1" applyFont="1" applyBorder="1" applyAlignment="1">
      <alignment horizontal="right" vertical="center" wrapText="1"/>
    </xf>
    <xf numFmtId="0" fontId="18" fillId="0" borderId="77" xfId="0" applyFont="1" applyBorder="1"/>
    <xf numFmtId="0" fontId="18" fillId="0" borderId="45" xfId="0" applyFont="1" applyBorder="1"/>
    <xf numFmtId="0" fontId="18" fillId="0" borderId="80" xfId="0" applyFont="1" applyBorder="1"/>
    <xf numFmtId="0" fontId="18" fillId="0" borderId="86" xfId="0" applyFont="1" applyBorder="1"/>
    <xf numFmtId="0" fontId="18" fillId="0" borderId="46" xfId="0" applyFont="1" applyBorder="1"/>
    <xf numFmtId="0" fontId="18" fillId="3" borderId="46" xfId="0" applyFont="1" applyFill="1" applyBorder="1"/>
    <xf numFmtId="0" fontId="18" fillId="3" borderId="47" xfId="0" applyFont="1" applyFill="1" applyBorder="1"/>
    <xf numFmtId="0" fontId="18" fillId="0" borderId="87" xfId="0" applyFont="1" applyBorder="1"/>
    <xf numFmtId="0" fontId="22" fillId="0" borderId="72" xfId="0" applyFont="1" applyBorder="1"/>
    <xf numFmtId="0" fontId="18" fillId="0" borderId="67" xfId="0" applyFont="1" applyBorder="1"/>
    <xf numFmtId="0" fontId="18" fillId="0" borderId="54" xfId="0" applyFont="1" applyBorder="1"/>
    <xf numFmtId="0" fontId="18" fillId="0" borderId="52" xfId="0" applyFont="1" applyBorder="1"/>
    <xf numFmtId="0" fontId="18" fillId="0" borderId="88" xfId="0" applyFont="1" applyBorder="1"/>
    <xf numFmtId="0" fontId="18" fillId="0" borderId="89" xfId="0" applyFont="1" applyBorder="1"/>
    <xf numFmtId="0" fontId="18" fillId="0" borderId="75" xfId="0" applyFont="1" applyBorder="1"/>
    <xf numFmtId="0" fontId="18" fillId="0" borderId="76" xfId="0" applyFont="1" applyBorder="1"/>
    <xf numFmtId="0" fontId="18" fillId="0" borderId="49" xfId="0" applyFont="1" applyBorder="1"/>
    <xf numFmtId="0" fontId="18" fillId="0" borderId="38" xfId="0" applyFont="1" applyBorder="1"/>
    <xf numFmtId="0" fontId="18" fillId="0" borderId="78" xfId="0" applyFont="1" applyBorder="1"/>
    <xf numFmtId="0" fontId="22" fillId="0" borderId="50" xfId="0" applyFont="1" applyBorder="1"/>
    <xf numFmtId="0" fontId="18" fillId="0" borderId="26" xfId="0" applyFont="1" applyBorder="1"/>
    <xf numFmtId="0" fontId="18" fillId="0" borderId="39" xfId="0" applyFont="1" applyBorder="1"/>
    <xf numFmtId="0" fontId="18" fillId="0" borderId="31" xfId="0" applyFont="1" applyBorder="1"/>
    <xf numFmtId="0" fontId="18" fillId="0" borderId="79" xfId="0" applyFont="1" applyBorder="1"/>
    <xf numFmtId="0" fontId="21" fillId="0" borderId="50" xfId="0" applyFont="1" applyBorder="1"/>
    <xf numFmtId="10" fontId="0" fillId="0" borderId="6" xfId="0" applyNumberFormat="1" applyBorder="1"/>
    <xf numFmtId="0" fontId="55" fillId="0" borderId="6" xfId="0" applyFont="1" applyBorder="1"/>
    <xf numFmtId="0" fontId="55" fillId="0" borderId="6" xfId="0" applyFont="1" applyBorder="1" applyAlignment="1">
      <alignment horizontal="left"/>
    </xf>
    <xf numFmtId="0" fontId="55" fillId="3" borderId="6" xfId="0" applyFont="1" applyFill="1" applyBorder="1"/>
    <xf numFmtId="0" fontId="57" fillId="4" borderId="6" xfId="0" applyFont="1" applyFill="1" applyBorder="1" applyAlignment="1">
      <alignment vertical="center" wrapText="1"/>
    </xf>
    <xf numFmtId="175" fontId="18" fillId="0" borderId="6" xfId="0" applyNumberFormat="1" applyFont="1" applyBorder="1"/>
    <xf numFmtId="0" fontId="58" fillId="0" borderId="34" xfId="0" applyFont="1" applyBorder="1"/>
    <xf numFmtId="0" fontId="18" fillId="3" borderId="49" xfId="0" applyFont="1" applyFill="1" applyBorder="1"/>
    <xf numFmtId="0" fontId="59" fillId="0" borderId="0" xfId="0" applyFont="1" applyAlignment="1">
      <alignment horizontal="center"/>
    </xf>
    <xf numFmtId="0" fontId="59" fillId="0" borderId="85" xfId="0" applyFont="1" applyBorder="1" applyAlignment="1">
      <alignment horizontal="center"/>
    </xf>
    <xf numFmtId="0" fontId="59" fillId="21" borderId="90" xfId="0" applyFont="1" applyFill="1" applyBorder="1" applyAlignment="1">
      <alignment horizontal="center"/>
    </xf>
    <xf numFmtId="0" fontId="18" fillId="0" borderId="17" xfId="0" applyFont="1" applyBorder="1"/>
    <xf numFmtId="0" fontId="18" fillId="0" borderId="2" xfId="0" applyFont="1" applyBorder="1"/>
    <xf numFmtId="0" fontId="18" fillId="0" borderId="1" xfId="0" applyFont="1" applyBorder="1" applyAlignment="1">
      <alignment horizontal="center" wrapText="1"/>
    </xf>
    <xf numFmtId="0" fontId="18" fillId="0" borderId="8" xfId="0" applyFont="1" applyBorder="1"/>
    <xf numFmtId="0" fontId="18" fillId="0" borderId="0" xfId="0" applyFont="1" applyAlignment="1">
      <alignment horizontal="center"/>
    </xf>
    <xf numFmtId="0" fontId="59" fillId="0" borderId="0" xfId="0" applyFont="1" applyAlignment="1">
      <alignment horizontal="center" wrapText="1"/>
    </xf>
    <xf numFmtId="0" fontId="59" fillId="0" borderId="85" xfId="0" applyFont="1" applyBorder="1" applyAlignment="1">
      <alignment horizontal="center" wrapText="1"/>
    </xf>
    <xf numFmtId="0" fontId="59" fillId="0" borderId="90" xfId="0" applyFont="1" applyBorder="1" applyAlignment="1">
      <alignment horizontal="center" wrapText="1"/>
    </xf>
    <xf numFmtId="0" fontId="59" fillId="21" borderId="90" xfId="0" applyFont="1" applyFill="1" applyBorder="1" applyAlignment="1">
      <alignment horizontal="center" wrapText="1"/>
    </xf>
    <xf numFmtId="0" fontId="18" fillId="0" borderId="17" xfId="0" applyFont="1" applyBorder="1" applyAlignment="1">
      <alignment wrapText="1"/>
    </xf>
    <xf numFmtId="0" fontId="18" fillId="0" borderId="22" xfId="0" applyFont="1" applyBorder="1" applyAlignment="1">
      <alignment horizontal="center" wrapText="1"/>
    </xf>
    <xf numFmtId="0" fontId="18" fillId="21" borderId="90" xfId="0" applyFont="1" applyFill="1" applyBorder="1" applyAlignment="1">
      <alignment horizontal="center" wrapText="1"/>
    </xf>
    <xf numFmtId="0" fontId="18" fillId="0" borderId="2" xfId="0" applyFont="1" applyBorder="1" applyAlignment="1">
      <alignment wrapText="1"/>
    </xf>
    <xf numFmtId="0" fontId="18" fillId="0" borderId="90" xfId="0" applyFont="1" applyBorder="1" applyAlignment="1">
      <alignment horizontal="center" wrapText="1"/>
    </xf>
    <xf numFmtId="0" fontId="18" fillId="0" borderId="8" xfId="0" applyFont="1" applyBorder="1" applyAlignment="1">
      <alignment wrapText="1"/>
    </xf>
    <xf numFmtId="0" fontId="18" fillId="0" borderId="4" xfId="0" applyFont="1" applyBorder="1" applyAlignment="1">
      <alignment horizontal="center" wrapText="1"/>
    </xf>
    <xf numFmtId="0" fontId="18" fillId="0" borderId="85" xfId="0" applyFont="1" applyBorder="1" applyAlignment="1">
      <alignment horizontal="center" wrapText="1"/>
    </xf>
    <xf numFmtId="0" fontId="18" fillId="21" borderId="85" xfId="0" applyFont="1" applyFill="1" applyBorder="1" applyAlignment="1">
      <alignment horizontal="center" wrapText="1"/>
    </xf>
    <xf numFmtId="0" fontId="18" fillId="0" borderId="22" xfId="0" applyFont="1" applyBorder="1" applyAlignment="1">
      <alignment wrapText="1"/>
    </xf>
    <xf numFmtId="0" fontId="18" fillId="0" borderId="1" xfId="0" applyFont="1" applyBorder="1" applyAlignment="1">
      <alignment wrapText="1"/>
    </xf>
    <xf numFmtId="0" fontId="18" fillId="0" borderId="0" xfId="0" applyFont="1" applyAlignment="1">
      <alignment horizontal="center" wrapText="1"/>
    </xf>
    <xf numFmtId="0" fontId="18" fillId="0" borderId="90" xfId="0" applyFont="1" applyBorder="1" applyAlignment="1">
      <alignment wrapText="1"/>
    </xf>
    <xf numFmtId="0" fontId="18" fillId="0" borderId="4" xfId="0" applyFont="1" applyBorder="1" applyAlignment="1">
      <alignment wrapText="1"/>
    </xf>
    <xf numFmtId="0" fontId="18" fillId="0" borderId="85" xfId="0" applyFont="1" applyBorder="1" applyAlignment="1">
      <alignment wrapText="1"/>
    </xf>
    <xf numFmtId="169" fontId="34" fillId="4" borderId="6" xfId="7" applyNumberFormat="1" applyFont="1" applyFill="1" applyBorder="1"/>
    <xf numFmtId="0" fontId="0" fillId="0" borderId="0" xfId="0" applyAlignment="1">
      <alignment vertical="center"/>
    </xf>
    <xf numFmtId="1" fontId="64" fillId="0" borderId="6" xfId="0" applyNumberFormat="1" applyFont="1" applyBorder="1" applyAlignment="1">
      <alignment horizontal="center"/>
    </xf>
    <xf numFmtId="167" fontId="34" fillId="11" borderId="6" xfId="7" applyNumberFormat="1" applyFont="1" applyFill="1" applyBorder="1"/>
    <xf numFmtId="167" fontId="10" fillId="2" borderId="6" xfId="0" applyNumberFormat="1" applyFont="1" applyFill="1" applyBorder="1" applyAlignment="1">
      <alignment vertical="center"/>
    </xf>
    <xf numFmtId="0" fontId="57" fillId="0" borderId="6" xfId="0" applyFont="1" applyBorder="1" applyAlignment="1">
      <alignment vertical="center" wrapText="1"/>
    </xf>
    <xf numFmtId="175" fontId="18" fillId="10" borderId="6" xfId="0" applyNumberFormat="1" applyFont="1" applyFill="1" applyBorder="1"/>
    <xf numFmtId="0" fontId="18" fillId="10" borderId="6" xfId="0" applyFont="1" applyFill="1" applyBorder="1"/>
    <xf numFmtId="0" fontId="11" fillId="12" borderId="6" xfId="0" applyFont="1" applyFill="1" applyBorder="1"/>
    <xf numFmtId="167" fontId="11" fillId="12" borderId="6" xfId="0" applyNumberFormat="1" applyFont="1" applyFill="1" applyBorder="1"/>
    <xf numFmtId="167" fontId="11" fillId="10" borderId="6" xfId="0" applyNumberFormat="1" applyFont="1" applyFill="1" applyBorder="1"/>
    <xf numFmtId="1" fontId="65" fillId="0" borderId="4" xfId="0" applyNumberFormat="1" applyFont="1" applyBorder="1"/>
    <xf numFmtId="1" fontId="11" fillId="2" borderId="6" xfId="0" applyNumberFormat="1" applyFont="1" applyFill="1" applyBorder="1"/>
    <xf numFmtId="0" fontId="11" fillId="2" borderId="6" xfId="0" applyFont="1" applyFill="1" applyBorder="1"/>
    <xf numFmtId="0" fontId="11" fillId="2" borderId="4" xfId="0" applyFont="1" applyFill="1" applyBorder="1"/>
    <xf numFmtId="0" fontId="18" fillId="10" borderId="0" xfId="0" applyFont="1" applyFill="1"/>
    <xf numFmtId="167" fontId="35" fillId="0" borderId="4" xfId="5" applyNumberFormat="1" applyFont="1" applyBorder="1"/>
    <xf numFmtId="167" fontId="32" fillId="0" borderId="4" xfId="5" applyNumberFormat="1" applyFont="1" applyBorder="1"/>
    <xf numFmtId="167" fontId="33" fillId="10" borderId="6" xfId="7" applyNumberFormat="1" applyFont="1" applyFill="1" applyBorder="1"/>
    <xf numFmtId="167" fontId="10" fillId="0" borderId="0" xfId="5" applyNumberFormat="1" applyFont="1"/>
    <xf numFmtId="1" fontId="67" fillId="0" borderId="6" xfId="0" applyNumberFormat="1" applyFont="1" applyBorder="1" applyAlignment="1">
      <alignment horizontal="center"/>
    </xf>
    <xf numFmtId="0" fontId="66" fillId="0" borderId="6" xfId="0" applyFont="1" applyBorder="1" applyAlignment="1">
      <alignment horizontal="center" wrapText="1"/>
    </xf>
    <xf numFmtId="0" fontId="0" fillId="0" borderId="6" xfId="0" applyBorder="1" applyAlignment="1">
      <alignment wrapText="1"/>
    </xf>
    <xf numFmtId="0" fontId="0" fillId="0" borderId="0" xfId="0" applyAlignment="1">
      <alignment wrapText="1"/>
    </xf>
    <xf numFmtId="0" fontId="55" fillId="0" borderId="6" xfId="0" applyFont="1" applyBorder="1" applyAlignment="1">
      <alignment horizontal="center" vertical="center"/>
    </xf>
    <xf numFmtId="167" fontId="35" fillId="11" borderId="6" xfId="5" applyNumberFormat="1" applyFont="1" applyFill="1" applyBorder="1"/>
    <xf numFmtId="167" fontId="35" fillId="2" borderId="6" xfId="5" applyNumberFormat="1" applyFont="1" applyFill="1" applyBorder="1"/>
    <xf numFmtId="0" fontId="0" fillId="0" borderId="5" xfId="0" applyBorder="1"/>
    <xf numFmtId="0" fontId="0" fillId="20" borderId="0" xfId="0" applyFill="1"/>
    <xf numFmtId="0" fontId="0" fillId="20" borderId="6" xfId="0" applyFill="1" applyBorder="1"/>
    <xf numFmtId="0" fontId="0" fillId="6" borderId="0" xfId="0" applyFill="1"/>
    <xf numFmtId="0" fontId="0" fillId="6" borderId="6" xfId="0" applyFill="1" applyBorder="1"/>
    <xf numFmtId="0" fontId="0" fillId="11" borderId="6" xfId="0" applyFill="1" applyBorder="1"/>
    <xf numFmtId="0" fontId="0" fillId="4" borderId="6" xfId="0" applyFill="1" applyBorder="1"/>
    <xf numFmtId="0" fontId="29" fillId="4" borderId="6" xfId="0" applyFont="1" applyFill="1" applyBorder="1"/>
    <xf numFmtId="0" fontId="0" fillId="22" borderId="0" xfId="0" applyFill="1"/>
    <xf numFmtId="0" fontId="0" fillId="22" borderId="6" xfId="0" applyFill="1" applyBorder="1"/>
    <xf numFmtId="0" fontId="0" fillId="22" borderId="4" xfId="0" applyFill="1" applyBorder="1"/>
    <xf numFmtId="0" fontId="34" fillId="0" borderId="4" xfId="5" applyFont="1" applyBorder="1"/>
    <xf numFmtId="170" fontId="34" fillId="0" borderId="4" xfId="7" applyNumberFormat="1" applyFont="1" applyBorder="1"/>
    <xf numFmtId="167" fontId="34" fillId="0" borderId="4" xfId="7" applyNumberFormat="1" applyFont="1" applyBorder="1"/>
    <xf numFmtId="167" fontId="34" fillId="2" borderId="4" xfId="7" applyNumberFormat="1" applyFont="1" applyFill="1" applyBorder="1"/>
    <xf numFmtId="167" fontId="34" fillId="11" borderId="4" xfId="7" applyNumberFormat="1" applyFont="1" applyFill="1" applyBorder="1"/>
    <xf numFmtId="170" fontId="34" fillId="11" borderId="6" xfId="7" applyNumberFormat="1" applyFont="1" applyFill="1" applyBorder="1"/>
    <xf numFmtId="167" fontId="35" fillId="11" borderId="4" xfId="5" applyNumberFormat="1" applyFont="1" applyFill="1" applyBorder="1"/>
    <xf numFmtId="167" fontId="35" fillId="23" borderId="6" xfId="5" applyNumberFormat="1" applyFont="1" applyFill="1" applyBorder="1"/>
    <xf numFmtId="0" fontId="0" fillId="0" borderId="3" xfId="0" applyBorder="1"/>
    <xf numFmtId="0" fontId="0" fillId="0" borderId="17" xfId="0" applyBorder="1"/>
    <xf numFmtId="0" fontId="0" fillId="0" borderId="8" xfId="0" applyBorder="1"/>
    <xf numFmtId="0" fontId="0" fillId="0" borderId="9" xfId="0" applyBorder="1"/>
    <xf numFmtId="0" fontId="0" fillId="0" borderId="90" xfId="0" applyBorder="1"/>
    <xf numFmtId="0" fontId="0" fillId="0" borderId="10" xfId="0" applyBorder="1"/>
    <xf numFmtId="169" fontId="0" fillId="0" borderId="6" xfId="0" applyNumberFormat="1" applyBorder="1"/>
    <xf numFmtId="169" fontId="0" fillId="24" borderId="5" xfId="0" applyNumberFormat="1" applyFill="1" applyBorder="1"/>
    <xf numFmtId="1" fontId="0" fillId="2" borderId="6" xfId="0" applyNumberFormat="1" applyFill="1" applyBorder="1"/>
    <xf numFmtId="0" fontId="14" fillId="0" borderId="6" xfId="0" applyFont="1" applyBorder="1" applyAlignment="1">
      <alignment horizontal="left" vertical="center" indent="1"/>
    </xf>
    <xf numFmtId="0" fontId="15" fillId="0" borderId="6" xfId="0" applyFont="1" applyBorder="1" applyAlignment="1">
      <alignment horizontal="center" vertical="center" wrapText="1"/>
    </xf>
    <xf numFmtId="0" fontId="15" fillId="12" borderId="6" xfId="0" applyFont="1" applyFill="1" applyBorder="1" applyAlignment="1">
      <alignment horizontal="left" vertical="center" wrapText="1"/>
    </xf>
    <xf numFmtId="0" fontId="15" fillId="0" borderId="6" xfId="0" applyFont="1" applyBorder="1" applyAlignment="1">
      <alignment horizontal="left" vertical="center" indent="1"/>
    </xf>
    <xf numFmtId="0" fontId="14" fillId="0" borderId="6" xfId="0" applyFont="1" applyBorder="1" applyAlignment="1">
      <alignment horizontal="left" vertical="center" indent="2"/>
    </xf>
    <xf numFmtId="0" fontId="55" fillId="0" borderId="0" xfId="0" applyFont="1"/>
    <xf numFmtId="169" fontId="0" fillId="2" borderId="6" xfId="0" applyNumberFormat="1" applyFill="1" applyBorder="1"/>
    <xf numFmtId="169" fontId="0" fillId="11" borderId="6" xfId="0" applyNumberFormat="1" applyFill="1" applyBorder="1"/>
    <xf numFmtId="1" fontId="0" fillId="0" borderId="6" xfId="0" applyNumberFormat="1" applyBorder="1"/>
    <xf numFmtId="1" fontId="55" fillId="0" borderId="6" xfId="0" applyNumberFormat="1" applyFont="1" applyBorder="1"/>
    <xf numFmtId="0" fontId="0" fillId="3" borderId="0" xfId="0" applyFill="1"/>
    <xf numFmtId="0" fontId="32" fillId="6" borderId="6" xfId="5" applyFont="1" applyFill="1" applyBorder="1"/>
    <xf numFmtId="0" fontId="34" fillId="6" borderId="6" xfId="5" applyFont="1" applyFill="1" applyBorder="1"/>
    <xf numFmtId="0" fontId="33" fillId="6" borderId="6" xfId="5" applyFont="1" applyFill="1" applyBorder="1"/>
    <xf numFmtId="0" fontId="34" fillId="6" borderId="1" xfId="5" applyFont="1" applyFill="1" applyBorder="1"/>
    <xf numFmtId="170" fontId="34" fillId="0" borderId="6" xfId="7" applyNumberFormat="1" applyFont="1" applyFill="1" applyBorder="1"/>
    <xf numFmtId="167" fontId="10" fillId="0" borderId="6" xfId="5" applyNumberFormat="1" applyFont="1" applyBorder="1"/>
    <xf numFmtId="167" fontId="19" fillId="0" borderId="6" xfId="5" applyNumberFormat="1" applyFont="1" applyBorder="1"/>
    <xf numFmtId="0" fontId="10" fillId="0" borderId="0" xfId="5" applyFont="1"/>
    <xf numFmtId="0" fontId="10" fillId="0" borderId="6" xfId="5" applyFont="1" applyBorder="1"/>
    <xf numFmtId="0" fontId="69" fillId="0" borderId="6" xfId="5" applyFont="1" applyBorder="1"/>
    <xf numFmtId="167" fontId="70" fillId="11" borderId="6" xfId="5" applyNumberFormat="1" applyFont="1" applyFill="1" applyBorder="1"/>
    <xf numFmtId="167" fontId="71" fillId="0" borderId="6" xfId="5" applyNumberFormat="1" applyFont="1" applyBorder="1"/>
    <xf numFmtId="0" fontId="71" fillId="0" borderId="6" xfId="5" applyFont="1" applyBorder="1"/>
    <xf numFmtId="167" fontId="70" fillId="2" borderId="6" xfId="5" applyNumberFormat="1" applyFont="1" applyFill="1" applyBorder="1"/>
    <xf numFmtId="167" fontId="70" fillId="10" borderId="6" xfId="5" applyNumberFormat="1" applyFont="1" applyFill="1" applyBorder="1"/>
    <xf numFmtId="0" fontId="72" fillId="0" borderId="6" xfId="5" applyFont="1" applyBorder="1"/>
    <xf numFmtId="167" fontId="10" fillId="11" borderId="6" xfId="5" applyNumberFormat="1" applyFont="1" applyFill="1" applyBorder="1"/>
    <xf numFmtId="1" fontId="12" fillId="12" borderId="6" xfId="0" applyNumberFormat="1" applyFont="1" applyFill="1" applyBorder="1" applyAlignment="1">
      <alignment horizontal="right" vertical="center"/>
    </xf>
    <xf numFmtId="176" fontId="12" fillId="0" borderId="6" xfId="0" applyNumberFormat="1" applyFont="1" applyBorder="1" applyAlignment="1">
      <alignment horizontal="right" vertical="center"/>
    </xf>
    <xf numFmtId="167" fontId="12" fillId="12" borderId="6" xfId="0" applyNumberFormat="1" applyFont="1" applyFill="1" applyBorder="1" applyAlignment="1">
      <alignment horizontal="right" vertical="center"/>
    </xf>
    <xf numFmtId="167" fontId="12" fillId="0" borderId="6" xfId="0" applyNumberFormat="1" applyFont="1" applyBorder="1" applyAlignment="1">
      <alignment horizontal="right" vertical="center"/>
    </xf>
    <xf numFmtId="169" fontId="12" fillId="12" borderId="6" xfId="0" applyNumberFormat="1" applyFont="1" applyFill="1" applyBorder="1" applyAlignment="1">
      <alignment horizontal="right" vertical="center"/>
    </xf>
    <xf numFmtId="169" fontId="13" fillId="12" borderId="6" xfId="0" applyNumberFormat="1" applyFont="1" applyFill="1" applyBorder="1" applyAlignment="1">
      <alignment horizontal="center" vertical="center" wrapText="1"/>
    </xf>
    <xf numFmtId="169" fontId="13" fillId="0" borderId="6" xfId="0" applyNumberFormat="1" applyFont="1" applyBorder="1" applyAlignment="1">
      <alignment horizontal="center" vertical="center"/>
    </xf>
    <xf numFmtId="169" fontId="12" fillId="0" borderId="6" xfId="0" applyNumberFormat="1" applyFont="1" applyBorder="1" applyAlignment="1">
      <alignment horizontal="right" vertical="center"/>
    </xf>
    <xf numFmtId="169" fontId="0" fillId="0" borderId="0" xfId="0" applyNumberFormat="1"/>
    <xf numFmtId="169" fontId="21" fillId="0" borderId="1" xfId="7" applyNumberFormat="1" applyFont="1" applyBorder="1"/>
    <xf numFmtId="167" fontId="10" fillId="2" borderId="6" xfId="5" applyNumberFormat="1" applyFont="1" applyFill="1" applyBorder="1"/>
    <xf numFmtId="167" fontId="35" fillId="17" borderId="6" xfId="5" applyNumberFormat="1" applyFont="1" applyFill="1" applyBorder="1"/>
    <xf numFmtId="167" fontId="19" fillId="24" borderId="6" xfId="5" applyNumberFormat="1" applyFont="1" applyFill="1" applyBorder="1"/>
    <xf numFmtId="2" fontId="34" fillId="11" borderId="6" xfId="5" applyNumberFormat="1" applyFont="1" applyFill="1" applyBorder="1"/>
    <xf numFmtId="2" fontId="21" fillId="0" borderId="6" xfId="7" applyNumberFormat="1" applyFont="1" applyBorder="1"/>
    <xf numFmtId="2" fontId="35" fillId="2" borderId="6" xfId="5" applyNumberFormat="1" applyFont="1" applyFill="1" applyBorder="1"/>
    <xf numFmtId="2" fontId="21" fillId="10" borderId="6" xfId="7" applyNumberFormat="1" applyFont="1" applyFill="1" applyBorder="1"/>
    <xf numFmtId="167" fontId="18" fillId="6" borderId="6" xfId="0" applyNumberFormat="1" applyFont="1" applyFill="1" applyBorder="1"/>
    <xf numFmtId="0" fontId="66" fillId="0" borderId="1" xfId="0" applyFont="1" applyBorder="1"/>
    <xf numFmtId="0" fontId="66" fillId="0" borderId="0" xfId="0" applyFont="1"/>
    <xf numFmtId="0" fontId="55" fillId="0" borderId="7" xfId="0" applyFont="1" applyBorder="1" applyAlignment="1">
      <alignment horizontal="center" vertical="center"/>
    </xf>
    <xf numFmtId="0" fontId="66" fillId="0" borderId="6" xfId="0" applyFont="1" applyBorder="1"/>
    <xf numFmtId="173" fontId="18" fillId="0" borderId="33" xfId="0" applyNumberFormat="1" applyFont="1" applyBorder="1"/>
    <xf numFmtId="0" fontId="18" fillId="11" borderId="66" xfId="0" applyFont="1" applyFill="1" applyBorder="1"/>
    <xf numFmtId="3" fontId="18" fillId="11" borderId="54" xfId="0" applyNumberFormat="1" applyFont="1" applyFill="1" applyBorder="1"/>
    <xf numFmtId="173" fontId="18" fillId="11" borderId="40" xfId="0" applyNumberFormat="1" applyFont="1" applyFill="1" applyBorder="1"/>
    <xf numFmtId="0" fontId="73" fillId="0" borderId="0" xfId="0" applyFont="1"/>
    <xf numFmtId="0" fontId="74" fillId="0" borderId="0" xfId="0" applyFont="1"/>
    <xf numFmtId="168" fontId="73" fillId="0" borderId="0" xfId="0" applyNumberFormat="1" applyFont="1"/>
    <xf numFmtId="0" fontId="77" fillId="0" borderId="0" xfId="0" applyFont="1"/>
    <xf numFmtId="0" fontId="77" fillId="0" borderId="0" xfId="0" applyFont="1" applyAlignment="1">
      <alignment vertical="center"/>
    </xf>
    <xf numFmtId="0" fontId="78" fillId="0" borderId="69" xfId="0" applyFont="1" applyBorder="1" applyAlignment="1">
      <alignment horizontal="center" vertical="center"/>
    </xf>
    <xf numFmtId="0" fontId="78" fillId="0" borderId="69" xfId="0" applyFont="1" applyBorder="1" applyAlignment="1">
      <alignment horizontal="center" vertical="center" wrapText="1"/>
    </xf>
    <xf numFmtId="0" fontId="78" fillId="0" borderId="91" xfId="0" applyFont="1" applyBorder="1" applyAlignment="1">
      <alignment vertical="center" wrapText="1"/>
    </xf>
    <xf numFmtId="0" fontId="78" fillId="0" borderId="92" xfId="0" applyFont="1" applyBorder="1"/>
    <xf numFmtId="0" fontId="78" fillId="0" borderId="93" xfId="0" applyFont="1" applyBorder="1"/>
    <xf numFmtId="0" fontId="78" fillId="0" borderId="94" xfId="0" applyFont="1" applyBorder="1"/>
    <xf numFmtId="0" fontId="78" fillId="0" borderId="96" xfId="0" applyFont="1" applyBorder="1" applyAlignment="1">
      <alignment horizontal="center" vertical="center" wrapText="1"/>
    </xf>
    <xf numFmtId="0" fontId="78" fillId="0" borderId="70" xfId="0" applyFont="1" applyBorder="1" applyAlignment="1">
      <alignment horizontal="center" vertical="center"/>
    </xf>
    <xf numFmtId="3" fontId="77" fillId="0" borderId="54" xfId="0" applyNumberFormat="1" applyFont="1" applyBorder="1"/>
    <xf numFmtId="3" fontId="77" fillId="0" borderId="52" xfId="0" applyNumberFormat="1" applyFont="1" applyBorder="1"/>
    <xf numFmtId="3" fontId="77" fillId="0" borderId="67" xfId="0" applyNumberFormat="1" applyFont="1" applyBorder="1"/>
    <xf numFmtId="3" fontId="77" fillId="0" borderId="88" xfId="0" applyNumberFormat="1" applyFont="1" applyBorder="1" applyAlignment="1">
      <alignment vertical="center"/>
    </xf>
    <xf numFmtId="3" fontId="77" fillId="0" borderId="40" xfId="0" applyNumberFormat="1" applyFont="1" applyBorder="1"/>
    <xf numFmtId="3" fontId="77" fillId="0" borderId="33" xfId="0" applyNumberFormat="1" applyFont="1" applyBorder="1"/>
    <xf numFmtId="3" fontId="77" fillId="0" borderId="34" xfId="0" applyNumberFormat="1" applyFont="1" applyBorder="1"/>
    <xf numFmtId="3" fontId="77" fillId="0" borderId="77" xfId="0" applyNumberFormat="1" applyFont="1" applyBorder="1" applyAlignment="1">
      <alignment vertical="center"/>
    </xf>
    <xf numFmtId="3" fontId="77" fillId="0" borderId="77" xfId="0" applyNumberFormat="1" applyFont="1" applyBorder="1"/>
    <xf numFmtId="3" fontId="77" fillId="0" borderId="86" xfId="0" applyNumberFormat="1" applyFont="1" applyBorder="1"/>
    <xf numFmtId="3" fontId="77" fillId="0" borderId="45" xfId="0" applyNumberFormat="1" applyFont="1" applyBorder="1"/>
    <xf numFmtId="3" fontId="77" fillId="0" borderId="87" xfId="0" applyNumberFormat="1" applyFont="1" applyBorder="1"/>
    <xf numFmtId="3" fontId="77" fillId="0" borderId="80" xfId="0" applyNumberFormat="1" applyFont="1" applyBorder="1" applyAlignment="1">
      <alignment vertical="center"/>
    </xf>
    <xf numFmtId="0" fontId="78" fillId="0" borderId="96" xfId="0" applyFont="1" applyBorder="1" applyAlignment="1">
      <alignment horizontal="center" vertical="center"/>
    </xf>
    <xf numFmtId="0" fontId="76" fillId="0" borderId="92" xfId="0" applyFont="1" applyBorder="1" applyAlignment="1">
      <alignment horizontal="right"/>
    </xf>
    <xf numFmtId="0" fontId="76" fillId="0" borderId="97" xfId="0" applyFont="1" applyBorder="1" applyAlignment="1">
      <alignment horizontal="right"/>
    </xf>
    <xf numFmtId="0" fontId="22" fillId="7" borderId="72" xfId="0" applyFont="1" applyFill="1" applyBorder="1"/>
    <xf numFmtId="0" fontId="18" fillId="7" borderId="67" xfId="0" applyFont="1" applyFill="1" applyBorder="1"/>
    <xf numFmtId="0" fontId="18" fillId="7" borderId="54" xfId="0" applyFont="1" applyFill="1" applyBorder="1"/>
    <xf numFmtId="0" fontId="18" fillId="7" borderId="52" xfId="0" applyFont="1" applyFill="1" applyBorder="1"/>
    <xf numFmtId="0" fontId="18" fillId="7" borderId="88" xfId="0" applyFont="1" applyFill="1" applyBorder="1"/>
    <xf numFmtId="0" fontId="18" fillId="7" borderId="34" xfId="0" applyFont="1" applyFill="1" applyBorder="1"/>
    <xf numFmtId="0" fontId="18" fillId="7" borderId="40" xfId="0" applyFont="1" applyFill="1" applyBorder="1"/>
    <xf numFmtId="0" fontId="18" fillId="7" borderId="33" xfId="0" applyFont="1" applyFill="1" applyBorder="1"/>
    <xf numFmtId="0" fontId="18" fillId="7" borderId="77" xfId="0" applyFont="1" applyFill="1" applyBorder="1"/>
    <xf numFmtId="0" fontId="18" fillId="0" borderId="103" xfId="0" applyFont="1" applyBorder="1"/>
    <xf numFmtId="3" fontId="77" fillId="0" borderId="0" xfId="0" applyNumberFormat="1" applyFont="1"/>
    <xf numFmtId="1" fontId="18" fillId="0" borderId="33" xfId="0" applyNumberFormat="1" applyFont="1" applyBorder="1"/>
    <xf numFmtId="1" fontId="18" fillId="0" borderId="35" xfId="0" applyNumberFormat="1" applyFont="1" applyBorder="1"/>
    <xf numFmtId="2" fontId="35" fillId="11" borderId="6" xfId="5" applyNumberFormat="1" applyFont="1" applyFill="1" applyBorder="1"/>
    <xf numFmtId="0" fontId="72" fillId="0" borderId="0" xfId="0" applyFont="1"/>
    <xf numFmtId="0" fontId="11" fillId="0" borderId="98" xfId="0" applyFont="1" applyBorder="1"/>
    <xf numFmtId="0" fontId="11" fillId="0" borderId="100" xfId="0" applyFont="1" applyBorder="1"/>
    <xf numFmtId="0" fontId="11" fillId="0" borderId="97" xfId="0" applyFont="1" applyBorder="1"/>
    <xf numFmtId="0" fontId="11" fillId="0" borderId="65" xfId="0" applyFont="1" applyBorder="1"/>
    <xf numFmtId="0" fontId="11" fillId="0" borderId="41" xfId="0" applyFont="1" applyBorder="1"/>
    <xf numFmtId="0" fontId="11" fillId="0" borderId="28" xfId="0" applyFont="1" applyBorder="1"/>
    <xf numFmtId="0" fontId="11" fillId="0" borderId="27" xfId="0" applyFont="1" applyBorder="1"/>
    <xf numFmtId="0" fontId="11" fillId="0" borderId="111" xfId="0" applyFont="1" applyBorder="1"/>
    <xf numFmtId="0" fontId="79" fillId="0" borderId="92" xfId="0" applyFont="1" applyBorder="1" applyAlignment="1">
      <alignment horizontal="left"/>
    </xf>
    <xf numFmtId="168" fontId="11" fillId="3" borderId="66" xfId="0" applyNumberFormat="1" applyFont="1" applyFill="1" applyBorder="1"/>
    <xf numFmtId="168" fontId="11" fillId="0" borderId="118" xfId="0" applyNumberFormat="1" applyFont="1" applyBorder="1"/>
    <xf numFmtId="1" fontId="11" fillId="0" borderId="119" xfId="0" applyNumberFormat="1" applyFont="1" applyBorder="1"/>
    <xf numFmtId="168" fontId="11" fillId="0" borderId="120" xfId="0" applyNumberFormat="1" applyFont="1" applyBorder="1"/>
    <xf numFmtId="0" fontId="79" fillId="0" borderId="93" xfId="0" applyFont="1" applyBorder="1" applyAlignment="1">
      <alignment horizontal="left"/>
    </xf>
    <xf numFmtId="168" fontId="11" fillId="3" borderId="64" xfId="0" applyNumberFormat="1" applyFont="1" applyFill="1" applyBorder="1"/>
    <xf numFmtId="168" fontId="11" fillId="0" borderId="29" xfId="0" applyNumberFormat="1" applyFont="1" applyBorder="1"/>
    <xf numFmtId="1" fontId="11" fillId="0" borderId="121" xfId="0" applyNumberFormat="1" applyFont="1" applyBorder="1"/>
    <xf numFmtId="168" fontId="11" fillId="0" borderId="30" xfId="0" applyNumberFormat="1" applyFont="1" applyBorder="1"/>
    <xf numFmtId="0" fontId="11" fillId="0" borderId="29" xfId="0" applyFont="1" applyBorder="1"/>
    <xf numFmtId="168" fontId="11" fillId="3" borderId="106" xfId="0" applyNumberFormat="1" applyFont="1" applyFill="1" applyBorder="1"/>
    <xf numFmtId="0" fontId="11" fillId="0" borderId="85" xfId="0" applyFont="1" applyBorder="1"/>
    <xf numFmtId="0" fontId="79" fillId="0" borderId="83" xfId="0" applyFont="1" applyBorder="1" applyAlignment="1">
      <alignment horizontal="left"/>
    </xf>
    <xf numFmtId="168" fontId="11" fillId="0" borderId="24" xfId="0" applyNumberFormat="1" applyFont="1" applyBorder="1"/>
    <xf numFmtId="168" fontId="11" fillId="0" borderId="113" xfId="0" applyNumberFormat="1" applyFont="1" applyBorder="1"/>
    <xf numFmtId="1" fontId="11" fillId="0" borderId="108" xfId="0" applyNumberFormat="1" applyFont="1" applyBorder="1"/>
    <xf numFmtId="168" fontId="11" fillId="0" borderId="109" xfId="0" applyNumberFormat="1" applyFont="1" applyBorder="1"/>
    <xf numFmtId="0" fontId="11" fillId="0" borderId="122" xfId="0" applyFont="1" applyBorder="1"/>
    <xf numFmtId="1" fontId="11" fillId="4" borderId="113" xfId="0" applyNumberFormat="1" applyFont="1" applyFill="1" applyBorder="1"/>
    <xf numFmtId="0" fontId="79" fillId="0" borderId="0" xfId="0" applyFont="1" applyAlignment="1">
      <alignment horizontal="left"/>
    </xf>
    <xf numFmtId="168" fontId="11" fillId="0" borderId="0" xfId="0" applyNumberFormat="1" applyFont="1"/>
    <xf numFmtId="1" fontId="11" fillId="0" borderId="0" xfId="0" applyNumberFormat="1" applyFont="1"/>
    <xf numFmtId="1" fontId="11" fillId="0" borderId="113" xfId="0" applyNumberFormat="1" applyFont="1" applyBorder="1"/>
    <xf numFmtId="0" fontId="32" fillId="11" borderId="8" xfId="5" applyFont="1" applyFill="1" applyBorder="1"/>
    <xf numFmtId="0" fontId="34" fillId="11" borderId="3" xfId="5" applyFont="1" applyFill="1" applyBorder="1"/>
    <xf numFmtId="0" fontId="34" fillId="11" borderId="6" xfId="5" applyFont="1" applyFill="1" applyBorder="1"/>
    <xf numFmtId="0" fontId="32" fillId="0" borderId="8" xfId="5" applyFont="1" applyBorder="1" applyAlignment="1">
      <alignment wrapText="1"/>
    </xf>
    <xf numFmtId="0" fontId="34" fillId="2" borderId="6" xfId="5" applyFont="1" applyFill="1" applyBorder="1"/>
    <xf numFmtId="2" fontId="18" fillId="2" borderId="0" xfId="0" applyNumberFormat="1" applyFont="1" applyFill="1"/>
    <xf numFmtId="0" fontId="11" fillId="0" borderId="83" xfId="0" applyFont="1" applyBorder="1"/>
    <xf numFmtId="0" fontId="11" fillId="0" borderId="5" xfId="0" applyFont="1" applyBorder="1"/>
    <xf numFmtId="1" fontId="11" fillId="0" borderId="125" xfId="0" applyNumberFormat="1" applyFont="1" applyBorder="1"/>
    <xf numFmtId="2" fontId="11" fillId="20" borderId="125" xfId="0" applyNumberFormat="1" applyFont="1" applyFill="1" applyBorder="1"/>
    <xf numFmtId="168" fontId="11" fillId="20" borderId="120" xfId="0" applyNumberFormat="1" applyFont="1" applyFill="1" applyBorder="1"/>
    <xf numFmtId="2" fontId="11" fillId="0" borderId="117" xfId="0" applyNumberFormat="1" applyFont="1" applyBorder="1"/>
    <xf numFmtId="1" fontId="11" fillId="0" borderId="117" xfId="0" applyNumberFormat="1" applyFont="1" applyBorder="1"/>
    <xf numFmtId="2" fontId="11" fillId="20" borderId="117" xfId="0" applyNumberFormat="1" applyFont="1" applyFill="1" applyBorder="1"/>
    <xf numFmtId="168" fontId="11" fillId="20" borderId="30" xfId="0" applyNumberFormat="1" applyFont="1" applyFill="1" applyBorder="1"/>
    <xf numFmtId="0" fontId="81" fillId="0" borderId="107" xfId="0" applyFont="1" applyBorder="1" applyAlignment="1">
      <alignment horizontal="left"/>
    </xf>
    <xf numFmtId="168" fontId="72" fillId="0" borderId="126" xfId="0" applyNumberFormat="1" applyFont="1" applyBorder="1"/>
    <xf numFmtId="1" fontId="11" fillId="20" borderId="119" xfId="0" applyNumberFormat="1" applyFont="1" applyFill="1" applyBorder="1"/>
    <xf numFmtId="2" fontId="11" fillId="15" borderId="125" xfId="0" applyNumberFormat="1" applyFont="1" applyFill="1" applyBorder="1"/>
    <xf numFmtId="1" fontId="11" fillId="20" borderId="121" xfId="0" applyNumberFormat="1" applyFont="1" applyFill="1" applyBorder="1"/>
    <xf numFmtId="2" fontId="11" fillId="15" borderId="117" xfId="0" applyNumberFormat="1" applyFont="1" applyFill="1" applyBorder="1"/>
    <xf numFmtId="0" fontId="81" fillId="0" borderId="84" xfId="0" applyFont="1" applyBorder="1" applyAlignment="1">
      <alignment horizontal="left"/>
    </xf>
    <xf numFmtId="168" fontId="11" fillId="0" borderId="4" xfId="0" applyNumberFormat="1" applyFont="1" applyBorder="1"/>
    <xf numFmtId="168" fontId="11" fillId="0" borderId="17" xfId="0" applyNumberFormat="1" applyFont="1" applyBorder="1"/>
    <xf numFmtId="1" fontId="11" fillId="0" borderId="127" xfId="0" applyNumberFormat="1" applyFont="1" applyBorder="1"/>
    <xf numFmtId="1" fontId="11" fillId="0" borderId="17" xfId="0" applyNumberFormat="1" applyFont="1" applyBorder="1"/>
    <xf numFmtId="0" fontId="11" fillId="0" borderId="118" xfId="0" applyFont="1" applyBorder="1"/>
    <xf numFmtId="1" fontId="11" fillId="4" borderId="17" xfId="0" applyNumberFormat="1" applyFont="1" applyFill="1" applyBorder="1"/>
    <xf numFmtId="0" fontId="81" fillId="0" borderId="128" xfId="0" applyFont="1" applyBorder="1" applyAlignment="1">
      <alignment horizontal="left"/>
    </xf>
    <xf numFmtId="168" fontId="11" fillId="0" borderId="126" xfId="0" applyNumberFormat="1" applyFont="1" applyBorder="1"/>
    <xf numFmtId="1" fontId="11" fillId="0" borderId="126" xfId="0" applyNumberFormat="1" applyFont="1" applyBorder="1"/>
    <xf numFmtId="0" fontId="11" fillId="0" borderId="126" xfId="0" applyFont="1" applyBorder="1"/>
    <xf numFmtId="1" fontId="11" fillId="4" borderId="126" xfId="0" applyNumberFormat="1" applyFont="1" applyFill="1" applyBorder="1"/>
    <xf numFmtId="167" fontId="36" fillId="0" borderId="0" xfId="5" applyNumberFormat="1" applyFont="1"/>
    <xf numFmtId="177" fontId="36" fillId="0" borderId="0" xfId="5" applyNumberFormat="1" applyFont="1"/>
    <xf numFmtId="167" fontId="50" fillId="2" borderId="0" xfId="5" applyNumberFormat="1" applyFont="1" applyFill="1"/>
    <xf numFmtId="0" fontId="82" fillId="0" borderId="6" xfId="5" applyFont="1" applyBorder="1"/>
    <xf numFmtId="0" fontId="34" fillId="0" borderId="0" xfId="5" applyFont="1"/>
    <xf numFmtId="0" fontId="83" fillId="0" borderId="0" xfId="4" applyFont="1"/>
    <xf numFmtId="0" fontId="0" fillId="0" borderId="131" xfId="0" applyBorder="1"/>
    <xf numFmtId="0" fontId="0" fillId="0" borderId="107" xfId="0" applyBorder="1"/>
    <xf numFmtId="0" fontId="0" fillId="0" borderId="24" xfId="0" applyBorder="1"/>
    <xf numFmtId="0" fontId="55" fillId="21" borderId="6" xfId="0" applyFont="1" applyFill="1" applyBorder="1" applyAlignment="1">
      <alignment vertical="center"/>
    </xf>
    <xf numFmtId="0" fontId="55" fillId="21" borderId="132" xfId="0" applyFont="1" applyFill="1" applyBorder="1" applyAlignment="1">
      <alignment vertical="center"/>
    </xf>
    <xf numFmtId="0" fontId="55" fillId="21" borderId="1" xfId="0" applyFont="1" applyFill="1" applyBorder="1" applyAlignment="1">
      <alignment vertical="center"/>
    </xf>
    <xf numFmtId="0" fontId="0" fillId="0" borderId="135" xfId="0" applyBorder="1"/>
    <xf numFmtId="0" fontId="0" fillId="0" borderId="137" xfId="0" applyBorder="1"/>
    <xf numFmtId="0" fontId="0" fillId="0" borderId="138" xfId="0" applyBorder="1"/>
    <xf numFmtId="0" fontId="0" fillId="0" borderId="139" xfId="0" applyBorder="1"/>
    <xf numFmtId="0" fontId="0" fillId="0" borderId="140" xfId="0" applyBorder="1"/>
    <xf numFmtId="0" fontId="21" fillId="0" borderId="0" xfId="5" applyFont="1"/>
    <xf numFmtId="169" fontId="18" fillId="11" borderId="0" xfId="0" applyNumberFormat="1" applyFont="1" applyFill="1"/>
    <xf numFmtId="169" fontId="18" fillId="2" borderId="0" xfId="0" applyNumberFormat="1" applyFont="1" applyFill="1"/>
    <xf numFmtId="166" fontId="34" fillId="0" borderId="6" xfId="7" applyNumberFormat="1" applyFont="1" applyBorder="1"/>
    <xf numFmtId="170" fontId="33" fillId="2" borderId="6" xfId="7" applyNumberFormat="1" applyFont="1" applyFill="1" applyBorder="1"/>
    <xf numFmtId="166" fontId="33" fillId="2" borderId="6" xfId="7" applyNumberFormat="1" applyFont="1" applyFill="1" applyBorder="1"/>
    <xf numFmtId="2" fontId="18" fillId="0" borderId="0" xfId="0" applyNumberFormat="1" applyFont="1"/>
    <xf numFmtId="2" fontId="18" fillId="11" borderId="0" xfId="0" applyNumberFormat="1" applyFont="1" applyFill="1"/>
    <xf numFmtId="0" fontId="55" fillId="0" borderId="5" xfId="0" applyFont="1" applyBorder="1"/>
    <xf numFmtId="0" fontId="9" fillId="0" borderId="0" xfId="4" applyBorder="1" applyAlignment="1"/>
    <xf numFmtId="0" fontId="85" fillId="10" borderId="6" xfId="0" applyFont="1" applyFill="1" applyBorder="1" applyAlignment="1">
      <alignment horizontal="left" vertical="center"/>
    </xf>
    <xf numFmtId="0" fontId="85" fillId="10" borderId="6" xfId="0" applyFont="1" applyFill="1" applyBorder="1" applyAlignment="1">
      <alignment horizontal="center" vertical="center" wrapText="1"/>
    </xf>
    <xf numFmtId="0" fontId="10" fillId="0" borderId="6" xfId="0" applyFont="1" applyBorder="1" applyAlignment="1">
      <alignment vertical="center" wrapText="1"/>
    </xf>
    <xf numFmtId="1" fontId="18" fillId="10" borderId="6" xfId="0" applyNumberFormat="1" applyFont="1" applyFill="1" applyBorder="1"/>
    <xf numFmtId="167" fontId="18" fillId="0" borderId="6" xfId="0" applyNumberFormat="1" applyFont="1" applyBorder="1"/>
    <xf numFmtId="0" fontId="34" fillId="0" borderId="6" xfId="0" applyFont="1" applyBorder="1"/>
    <xf numFmtId="166" fontId="18" fillId="11" borderId="0" xfId="0" applyNumberFormat="1" applyFont="1" applyFill="1"/>
    <xf numFmtId="166" fontId="18" fillId="2" borderId="0" xfId="0" applyNumberFormat="1" applyFont="1" applyFill="1"/>
    <xf numFmtId="166" fontId="18" fillId="0" borderId="0" xfId="0" applyNumberFormat="1" applyFont="1"/>
    <xf numFmtId="2" fontId="34" fillId="0" borderId="6" xfId="7" applyNumberFormat="1" applyFont="1" applyBorder="1"/>
    <xf numFmtId="2" fontId="35" fillId="0" borderId="6" xfId="5" applyNumberFormat="1" applyFont="1" applyBorder="1"/>
    <xf numFmtId="178" fontId="18" fillId="0" borderId="0" xfId="0" applyNumberFormat="1" applyFont="1"/>
    <xf numFmtId="169" fontId="18" fillId="0" borderId="0" xfId="0" applyNumberFormat="1" applyFont="1"/>
    <xf numFmtId="2" fontId="11" fillId="20" borderId="119" xfId="0" applyNumberFormat="1" applyFont="1" applyFill="1" applyBorder="1"/>
    <xf numFmtId="2" fontId="11" fillId="20" borderId="121" xfId="0" applyNumberFormat="1" applyFont="1" applyFill="1" applyBorder="1"/>
    <xf numFmtId="2" fontId="11" fillId="20" borderId="142" xfId="0" applyNumberFormat="1" applyFont="1" applyFill="1" applyBorder="1"/>
    <xf numFmtId="166" fontId="0" fillId="0" borderId="6" xfId="0" applyNumberFormat="1" applyBorder="1"/>
    <xf numFmtId="0" fontId="29" fillId="11" borderId="21" xfId="0" applyFont="1" applyFill="1" applyBorder="1"/>
    <xf numFmtId="0" fontId="29" fillId="11" borderId="7" xfId="0" applyFont="1" applyFill="1" applyBorder="1"/>
    <xf numFmtId="0" fontId="0" fillId="0" borderId="143" xfId="0" applyBorder="1"/>
    <xf numFmtId="0" fontId="29" fillId="10" borderId="143" xfId="0" applyFont="1" applyFill="1" applyBorder="1"/>
    <xf numFmtId="0" fontId="18" fillId="22" borderId="0" xfId="0" applyFont="1" applyFill="1"/>
    <xf numFmtId="0" fontId="18" fillId="22" borderId="6" xfId="0" applyFont="1" applyFill="1" applyBorder="1"/>
    <xf numFmtId="169" fontId="35" fillId="0" borderId="6" xfId="0" applyNumberFormat="1" applyFont="1" applyBorder="1"/>
    <xf numFmtId="169" fontId="35" fillId="0" borderId="6" xfId="4" applyNumberFormat="1" applyFont="1" applyBorder="1"/>
    <xf numFmtId="169" fontId="35" fillId="0" borderId="1" xfId="0" applyNumberFormat="1" applyFont="1" applyBorder="1"/>
    <xf numFmtId="0" fontId="18" fillId="0" borderId="7" xfId="0" applyFont="1" applyBorder="1"/>
    <xf numFmtId="0" fontId="20" fillId="0" borderId="7" xfId="4" applyFont="1" applyBorder="1"/>
    <xf numFmtId="169" fontId="35" fillId="4" borderId="6" xfId="0" applyNumberFormat="1" applyFont="1" applyFill="1" applyBorder="1"/>
    <xf numFmtId="0" fontId="18" fillId="4" borderId="6" xfId="0" applyFont="1" applyFill="1" applyBorder="1"/>
    <xf numFmtId="0" fontId="35" fillId="4" borderId="6" xfId="0" applyFont="1" applyFill="1" applyBorder="1"/>
    <xf numFmtId="0" fontId="18" fillId="22" borderId="4" xfId="0" applyFont="1" applyFill="1" applyBorder="1"/>
    <xf numFmtId="169" fontId="35" fillId="0" borderId="4" xfId="0" applyNumberFormat="1" applyFont="1" applyBorder="1"/>
    <xf numFmtId="169" fontId="35" fillId="0" borderId="4" xfId="4" applyNumberFormat="1" applyFont="1" applyBorder="1"/>
    <xf numFmtId="169" fontId="35" fillId="0" borderId="22" xfId="0" applyNumberFormat="1" applyFont="1" applyBorder="1"/>
    <xf numFmtId="0" fontId="18" fillId="0" borderId="4" xfId="0" applyFont="1" applyBorder="1"/>
    <xf numFmtId="0" fontId="20" fillId="0" borderId="4" xfId="4" applyFont="1" applyBorder="1"/>
    <xf numFmtId="167" fontId="35" fillId="0" borderId="6" xfId="0" applyNumberFormat="1" applyFont="1" applyBorder="1"/>
    <xf numFmtId="167" fontId="18" fillId="0" borderId="7" xfId="0" applyNumberFormat="1" applyFont="1" applyBorder="1"/>
    <xf numFmtId="167" fontId="18" fillId="4" borderId="6" xfId="0" applyNumberFormat="1" applyFont="1" applyFill="1" applyBorder="1"/>
    <xf numFmtId="167" fontId="35" fillId="4" borderId="6" xfId="0" applyNumberFormat="1" applyFont="1" applyFill="1" applyBorder="1"/>
    <xf numFmtId="167" fontId="18" fillId="0" borderId="4" xfId="0" applyNumberFormat="1" applyFont="1" applyBorder="1"/>
    <xf numFmtId="1" fontId="18" fillId="0" borderId="7" xfId="0" applyNumberFormat="1" applyFont="1" applyBorder="1"/>
    <xf numFmtId="169" fontId="35" fillId="0" borderId="0" xfId="0" applyNumberFormat="1" applyFont="1"/>
    <xf numFmtId="0" fontId="18" fillId="22" borderId="8" xfId="0" applyFont="1" applyFill="1" applyBorder="1"/>
    <xf numFmtId="167" fontId="18" fillId="0" borderId="0" xfId="0" applyNumberFormat="1" applyFont="1"/>
    <xf numFmtId="3" fontId="18" fillId="0" borderId="54" xfId="0" applyNumberFormat="1" applyFont="1" applyBorder="1"/>
    <xf numFmtId="166" fontId="18" fillId="0" borderId="54" xfId="0" applyNumberFormat="1" applyFont="1" applyBorder="1"/>
    <xf numFmtId="173" fontId="18" fillId="0" borderId="40" xfId="0" applyNumberFormat="1" applyFont="1" applyBorder="1"/>
    <xf numFmtId="168" fontId="18" fillId="0" borderId="124" xfId="0" applyNumberFormat="1" applyFont="1" applyBorder="1"/>
    <xf numFmtId="3" fontId="18" fillId="0" borderId="144" xfId="0" applyNumberFormat="1" applyFont="1" applyBorder="1"/>
    <xf numFmtId="166" fontId="18" fillId="0" borderId="144" xfId="0" applyNumberFormat="1" applyFont="1" applyBorder="1"/>
    <xf numFmtId="173" fontId="18" fillId="0" borderId="124" xfId="0" applyNumberFormat="1" applyFont="1" applyBorder="1"/>
    <xf numFmtId="0" fontId="18" fillId="4" borderId="63" xfId="0" applyFont="1" applyFill="1" applyBorder="1"/>
    <xf numFmtId="3" fontId="18" fillId="4" borderId="54" xfId="0" applyNumberFormat="1" applyFont="1" applyFill="1" applyBorder="1"/>
    <xf numFmtId="3" fontId="18" fillId="4" borderId="144" xfId="0" applyNumberFormat="1" applyFont="1" applyFill="1" applyBorder="1"/>
    <xf numFmtId="0" fontId="18" fillId="4" borderId="64" xfId="0" applyFont="1" applyFill="1" applyBorder="1"/>
    <xf numFmtId="0" fontId="18" fillId="4" borderId="106" xfId="0" applyFont="1" applyFill="1" applyBorder="1"/>
    <xf numFmtId="0" fontId="18" fillId="4" borderId="66" xfId="0" applyFont="1" applyFill="1" applyBorder="1"/>
    <xf numFmtId="0" fontId="21" fillId="11" borderId="66" xfId="0" applyFont="1" applyFill="1" applyBorder="1"/>
    <xf numFmtId="173" fontId="18" fillId="11" borderId="124" xfId="0" applyNumberFormat="1" applyFont="1" applyFill="1" applyBorder="1"/>
    <xf numFmtId="0" fontId="21" fillId="11" borderId="64" xfId="0" applyFont="1" applyFill="1" applyBorder="1"/>
    <xf numFmtId="173" fontId="18" fillId="11" borderId="54" xfId="0" applyNumberFormat="1" applyFont="1" applyFill="1" applyBorder="1"/>
    <xf numFmtId="173" fontId="18" fillId="11" borderId="144" xfId="0" applyNumberFormat="1" applyFont="1" applyFill="1" applyBorder="1"/>
    <xf numFmtId="0" fontId="21" fillId="11" borderId="65" xfId="0" applyFont="1" applyFill="1" applyBorder="1"/>
    <xf numFmtId="173" fontId="18" fillId="11" borderId="41" xfId="0" applyNumberFormat="1" applyFont="1" applyFill="1" applyBorder="1"/>
    <xf numFmtId="173" fontId="18" fillId="11" borderId="145" xfId="0" applyNumberFormat="1" applyFont="1" applyFill="1" applyBorder="1"/>
    <xf numFmtId="2" fontId="0" fillId="0" borderId="0" xfId="0" applyNumberFormat="1"/>
    <xf numFmtId="3" fontId="18" fillId="11" borderId="144" xfId="0" applyNumberFormat="1" applyFont="1" applyFill="1" applyBorder="1"/>
    <xf numFmtId="0" fontId="34" fillId="0" borderId="0" xfId="0" applyFont="1"/>
    <xf numFmtId="1" fontId="18" fillId="0" borderId="6" xfId="0" applyNumberFormat="1" applyFont="1" applyBorder="1"/>
    <xf numFmtId="0" fontId="18" fillId="0" borderId="106" xfId="0" applyFont="1" applyBorder="1"/>
    <xf numFmtId="3" fontId="18" fillId="4" borderId="6" xfId="0" applyNumberFormat="1" applyFont="1" applyFill="1" applyBorder="1"/>
    <xf numFmtId="173" fontId="18" fillId="0" borderId="0" xfId="0" applyNumberFormat="1" applyFont="1"/>
    <xf numFmtId="0" fontId="18" fillId="0" borderId="0" xfId="0" applyFont="1" applyAlignment="1">
      <alignment vertical="center" wrapText="1"/>
    </xf>
    <xf numFmtId="0" fontId="35" fillId="3" borderId="0" xfId="0" applyFont="1" applyFill="1" applyAlignment="1">
      <alignment vertical="center" wrapText="1"/>
    </xf>
    <xf numFmtId="10" fontId="18" fillId="0" borderId="54" xfId="0" applyNumberFormat="1" applyFont="1" applyBorder="1"/>
    <xf numFmtId="9" fontId="35" fillId="0" borderId="0" xfId="9" applyFont="1" applyFill="1" applyBorder="1"/>
    <xf numFmtId="0" fontId="35" fillId="0" borderId="0" xfId="0" applyFont="1" applyAlignment="1">
      <alignment vertical="center" wrapText="1"/>
    </xf>
    <xf numFmtId="22" fontId="9" fillId="0" borderId="0" xfId="4" applyNumberFormat="1"/>
    <xf numFmtId="0" fontId="33" fillId="0" borderId="0" xfId="5" applyFont="1" applyAlignment="1">
      <alignment horizontal="left"/>
    </xf>
    <xf numFmtId="0" fontId="32" fillId="0" borderId="0" xfId="0" applyFont="1"/>
    <xf numFmtId="167" fontId="21" fillId="0" borderId="0" xfId="0" applyNumberFormat="1" applyFont="1"/>
    <xf numFmtId="1" fontId="10" fillId="3" borderId="0" xfId="5" applyNumberFormat="1" applyFont="1" applyFill="1"/>
    <xf numFmtId="1" fontId="35" fillId="3" borderId="6" xfId="0" applyNumberFormat="1" applyFont="1" applyFill="1" applyBorder="1"/>
    <xf numFmtId="0" fontId="87" fillId="0" borderId="6" xfId="5" applyFont="1" applyBorder="1"/>
    <xf numFmtId="0" fontId="49" fillId="0" borderId="6" xfId="5" applyFont="1" applyBorder="1" applyAlignment="1">
      <alignment horizontal="left"/>
    </xf>
    <xf numFmtId="0" fontId="87" fillId="0" borderId="4" xfId="5" applyFont="1" applyBorder="1"/>
    <xf numFmtId="0" fontId="87" fillId="0" borderId="4" xfId="5" applyFont="1" applyBorder="1" applyAlignment="1">
      <alignment wrapText="1"/>
    </xf>
    <xf numFmtId="0" fontId="82" fillId="2" borderId="3" xfId="5" applyFont="1" applyFill="1" applyBorder="1"/>
    <xf numFmtId="0" fontId="82" fillId="2" borderId="6" xfId="5" applyFont="1" applyFill="1" applyBorder="1"/>
    <xf numFmtId="0" fontId="82" fillId="0" borderId="6" xfId="5" applyFont="1" applyBorder="1" applyAlignment="1">
      <alignment vertical="top" wrapText="1"/>
    </xf>
    <xf numFmtId="169" fontId="82" fillId="0" borderId="3" xfId="5" applyNumberFormat="1" applyFont="1" applyBorder="1"/>
    <xf numFmtId="169" fontId="82" fillId="0" borderId="6" xfId="5" applyNumberFormat="1" applyFont="1" applyBorder="1"/>
    <xf numFmtId="0" fontId="82" fillId="0" borderId="6" xfId="5" applyFont="1" applyBorder="1" applyAlignment="1">
      <alignment vertical="top"/>
    </xf>
    <xf numFmtId="169" fontId="82" fillId="11" borderId="6" xfId="5" applyNumberFormat="1" applyFont="1" applyFill="1" applyBorder="1"/>
    <xf numFmtId="169" fontId="82" fillId="2" borderId="6" xfId="5" applyNumberFormat="1" applyFont="1" applyFill="1" applyBorder="1"/>
    <xf numFmtId="0" fontId="49" fillId="0" borderId="6" xfId="5" applyFont="1" applyBorder="1"/>
    <xf numFmtId="0" fontId="49" fillId="0" borderId="7" xfId="5" applyFont="1" applyBorder="1"/>
    <xf numFmtId="170" fontId="48" fillId="0" borderId="6" xfId="7" applyNumberFormat="1" applyFont="1" applyBorder="1"/>
    <xf numFmtId="169" fontId="49" fillId="0" borderId="6" xfId="5" applyNumberFormat="1" applyFont="1" applyBorder="1"/>
    <xf numFmtId="170" fontId="82" fillId="0" borderId="6" xfId="7" applyNumberFormat="1" applyFont="1" applyBorder="1"/>
    <xf numFmtId="170" fontId="49" fillId="0" borderId="6" xfId="7" applyNumberFormat="1" applyFont="1" applyBorder="1"/>
    <xf numFmtId="167" fontId="82" fillId="0" borderId="6" xfId="7" applyNumberFormat="1" applyFont="1" applyBorder="1"/>
    <xf numFmtId="167" fontId="82" fillId="0" borderId="6" xfId="5" applyNumberFormat="1" applyFont="1" applyBorder="1"/>
    <xf numFmtId="167" fontId="87" fillId="0" borderId="6" xfId="5" applyNumberFormat="1" applyFont="1" applyBorder="1"/>
    <xf numFmtId="167" fontId="49" fillId="0" borderId="6" xfId="7" applyNumberFormat="1" applyFont="1" applyBorder="1"/>
    <xf numFmtId="0" fontId="48" fillId="0" borderId="6" xfId="5" applyFont="1" applyBorder="1"/>
    <xf numFmtId="0" fontId="48" fillId="0" borderId="4" xfId="5" applyFont="1" applyBorder="1"/>
    <xf numFmtId="0" fontId="82" fillId="0" borderId="6" xfId="5" applyFont="1" applyBorder="1" applyAlignment="1">
      <alignment horizontal="left"/>
    </xf>
    <xf numFmtId="3" fontId="87" fillId="3" borderId="6" xfId="0" applyNumberFormat="1" applyFont="1" applyFill="1" applyBorder="1" applyAlignment="1">
      <alignment horizontal="right"/>
    </xf>
    <xf numFmtId="3" fontId="87" fillId="11" borderId="6" xfId="0" applyNumberFormat="1" applyFont="1" applyFill="1" applyBorder="1" applyAlignment="1">
      <alignment horizontal="right"/>
    </xf>
    <xf numFmtId="0" fontId="82" fillId="0" borderId="0" xfId="5" applyFont="1"/>
    <xf numFmtId="0" fontId="87" fillId="0" borderId="0" xfId="5" applyFont="1"/>
    <xf numFmtId="0" fontId="88" fillId="0" borderId="0" xfId="5" applyFont="1"/>
    <xf numFmtId="0" fontId="48" fillId="0" borderId="0" xfId="5" applyFont="1"/>
    <xf numFmtId="0" fontId="87" fillId="2" borderId="0" xfId="5" applyFont="1" applyFill="1"/>
    <xf numFmtId="0" fontId="87" fillId="0" borderId="0" xfId="0" applyFont="1"/>
    <xf numFmtId="0" fontId="87" fillId="11" borderId="0" xfId="0" applyFont="1" applyFill="1"/>
    <xf numFmtId="3" fontId="87" fillId="11" borderId="0" xfId="0" applyNumberFormat="1" applyFont="1" applyFill="1"/>
    <xf numFmtId="0" fontId="89" fillId="0" borderId="0" xfId="4" applyFont="1"/>
    <xf numFmtId="0" fontId="87" fillId="0" borderId="0" xfId="0" applyFont="1" applyAlignment="1">
      <alignment wrapText="1"/>
    </xf>
    <xf numFmtId="0" fontId="87" fillId="11" borderId="0" xfId="5" applyFont="1" applyFill="1"/>
    <xf numFmtId="9" fontId="87" fillId="0" borderId="0" xfId="9" applyFont="1"/>
    <xf numFmtId="0" fontId="90" fillId="0" borderId="0" xfId="5" applyFont="1"/>
    <xf numFmtId="0" fontId="87" fillId="0" borderId="4" xfId="5" applyFont="1" applyBorder="1" applyAlignment="1">
      <alignment horizontal="left"/>
    </xf>
    <xf numFmtId="0" fontId="48" fillId="0" borderId="8" xfId="5" applyFont="1" applyBorder="1" applyAlignment="1">
      <alignment wrapText="1"/>
    </xf>
    <xf numFmtId="0" fontId="48" fillId="11" borderId="8" xfId="5" applyFont="1" applyFill="1" applyBorder="1" applyAlignment="1">
      <alignment wrapText="1"/>
    </xf>
    <xf numFmtId="0" fontId="48" fillId="11" borderId="8" xfId="5" applyFont="1" applyFill="1" applyBorder="1"/>
    <xf numFmtId="0" fontId="49" fillId="11" borderId="3" xfId="5" applyFont="1" applyFill="1" applyBorder="1"/>
    <xf numFmtId="0" fontId="49" fillId="11" borderId="6" xfId="5" applyFont="1" applyFill="1" applyBorder="1"/>
    <xf numFmtId="1" fontId="49" fillId="2" borderId="6" xfId="5" applyNumberFormat="1" applyFont="1" applyFill="1" applyBorder="1"/>
    <xf numFmtId="0" fontId="49" fillId="2" borderId="6" xfId="5" applyFont="1" applyFill="1" applyBorder="1"/>
    <xf numFmtId="0" fontId="82" fillId="0" borderId="3" xfId="5" applyFont="1" applyBorder="1" applyAlignment="1">
      <alignment vertical="top" wrapText="1"/>
    </xf>
    <xf numFmtId="0" fontId="82" fillId="0" borderId="3" xfId="5" applyFont="1" applyBorder="1" applyAlignment="1">
      <alignment vertical="top"/>
    </xf>
    <xf numFmtId="167" fontId="87" fillId="0" borderId="0" xfId="5" applyNumberFormat="1" applyFont="1"/>
    <xf numFmtId="167" fontId="87" fillId="2" borderId="6" xfId="5" applyNumberFormat="1" applyFont="1" applyFill="1" applyBorder="1"/>
    <xf numFmtId="167" fontId="33" fillId="0" borderId="0" xfId="0" applyNumberFormat="1" applyFont="1"/>
    <xf numFmtId="0" fontId="21" fillId="20" borderId="68" xfId="0" applyFont="1" applyFill="1" applyBorder="1"/>
    <xf numFmtId="0" fontId="21" fillId="20" borderId="69" xfId="0" applyFont="1" applyFill="1" applyBorder="1"/>
    <xf numFmtId="0" fontId="21" fillId="20" borderId="70" xfId="0" applyFont="1" applyFill="1" applyBorder="1"/>
    <xf numFmtId="0" fontId="18" fillId="20" borderId="63" xfId="0" applyFont="1" applyFill="1" applyBorder="1"/>
    <xf numFmtId="3" fontId="18" fillId="20" borderId="54" xfId="0" applyNumberFormat="1" applyFont="1" applyFill="1" applyBorder="1"/>
    <xf numFmtId="0" fontId="18" fillId="20" borderId="64" xfId="0" applyFont="1" applyFill="1" applyBorder="1"/>
    <xf numFmtId="0" fontId="18" fillId="20" borderId="106" xfId="0" applyFont="1" applyFill="1" applyBorder="1"/>
    <xf numFmtId="0" fontId="18" fillId="20" borderId="66" xfId="0" applyFont="1" applyFill="1" applyBorder="1"/>
    <xf numFmtId="0" fontId="18" fillId="20" borderId="5" xfId="0" applyFont="1" applyFill="1" applyBorder="1"/>
    <xf numFmtId="173" fontId="18" fillId="20" borderId="40" xfId="0" applyNumberFormat="1" applyFont="1" applyFill="1" applyBorder="1"/>
    <xf numFmtId="0" fontId="21" fillId="20" borderId="64" xfId="0" applyFont="1" applyFill="1" applyBorder="1"/>
    <xf numFmtId="0" fontId="21" fillId="20" borderId="65" xfId="0" applyFont="1" applyFill="1" applyBorder="1"/>
    <xf numFmtId="173" fontId="18" fillId="20" borderId="124" xfId="0" applyNumberFormat="1" applyFont="1" applyFill="1" applyBorder="1"/>
    <xf numFmtId="169" fontId="21" fillId="0" borderId="0" xfId="0" applyNumberFormat="1" applyFont="1"/>
    <xf numFmtId="169" fontId="22" fillId="0" borderId="0" xfId="0" applyNumberFormat="1" applyFont="1"/>
    <xf numFmtId="0" fontId="21" fillId="20" borderId="66" xfId="0" applyFont="1" applyFill="1" applyBorder="1"/>
    <xf numFmtId="173" fontId="21" fillId="20" borderId="40" xfId="0" applyNumberFormat="1" applyFont="1" applyFill="1" applyBorder="1"/>
    <xf numFmtId="173" fontId="21" fillId="20" borderId="54" xfId="0" applyNumberFormat="1" applyFont="1" applyFill="1" applyBorder="1"/>
    <xf numFmtId="173" fontId="21" fillId="20" borderId="124" xfId="0" applyNumberFormat="1" applyFont="1" applyFill="1" applyBorder="1"/>
    <xf numFmtId="173" fontId="21" fillId="20" borderId="41" xfId="0" applyNumberFormat="1" applyFont="1" applyFill="1" applyBorder="1"/>
    <xf numFmtId="173" fontId="21" fillId="20" borderId="145" xfId="0" applyNumberFormat="1" applyFont="1" applyFill="1" applyBorder="1"/>
    <xf numFmtId="167" fontId="35" fillId="0" borderId="0" xfId="0" applyNumberFormat="1" applyFont="1"/>
    <xf numFmtId="0" fontId="21" fillId="0" borderId="68" xfId="0" applyFont="1" applyBorder="1"/>
    <xf numFmtId="0" fontId="21" fillId="0" borderId="69" xfId="0" applyFont="1" applyBorder="1"/>
    <xf numFmtId="0" fontId="21" fillId="0" borderId="70" xfId="0" applyFont="1" applyBorder="1"/>
    <xf numFmtId="173" fontId="21" fillId="0" borderId="0" xfId="0" applyNumberFormat="1" applyFont="1"/>
    <xf numFmtId="168" fontId="18" fillId="0" borderId="9" xfId="0" applyNumberFormat="1" applyFont="1" applyBorder="1"/>
    <xf numFmtId="168" fontId="18" fillId="0" borderId="53" xfId="0" applyNumberFormat="1" applyFont="1" applyBorder="1"/>
    <xf numFmtId="0" fontId="21" fillId="0" borderId="1" xfId="0" applyFont="1" applyBorder="1"/>
    <xf numFmtId="0" fontId="73" fillId="0" borderId="147" xfId="0" applyFont="1" applyBorder="1"/>
    <xf numFmtId="0" fontId="73" fillId="0" borderId="33" xfId="0" applyFont="1" applyBorder="1"/>
    <xf numFmtId="0" fontId="73" fillId="0" borderId="149" xfId="0" applyFont="1" applyBorder="1"/>
    <xf numFmtId="0" fontId="73" fillId="0" borderId="52" xfId="0" applyFont="1" applyBorder="1"/>
    <xf numFmtId="168" fontId="73" fillId="0" borderId="52" xfId="0" applyNumberFormat="1" applyFont="1" applyBorder="1"/>
    <xf numFmtId="0" fontId="75" fillId="25" borderId="89" xfId="0" applyFont="1" applyFill="1" applyBorder="1"/>
    <xf numFmtId="0" fontId="75" fillId="25" borderId="75" xfId="0" applyFont="1" applyFill="1" applyBorder="1"/>
    <xf numFmtId="0" fontId="73" fillId="0" borderId="150" xfId="0" applyFont="1" applyBorder="1"/>
    <xf numFmtId="0" fontId="73" fillId="0" borderId="37" xfId="0" applyFont="1" applyBorder="1"/>
    <xf numFmtId="0" fontId="73" fillId="25" borderId="151" xfId="0" applyFont="1" applyFill="1" applyBorder="1"/>
    <xf numFmtId="0" fontId="73" fillId="25" borderId="152" xfId="0" applyFont="1" applyFill="1" applyBorder="1"/>
    <xf numFmtId="168" fontId="73" fillId="25" borderId="152" xfId="0" applyNumberFormat="1" applyFont="1" applyFill="1" applyBorder="1"/>
    <xf numFmtId="0" fontId="75" fillId="25" borderId="76" xfId="0" applyFont="1" applyFill="1" applyBorder="1" applyAlignment="1">
      <alignment horizontal="center"/>
    </xf>
    <xf numFmtId="168" fontId="75" fillId="0" borderId="88" xfId="0" applyNumberFormat="1" applyFont="1" applyBorder="1"/>
    <xf numFmtId="168" fontId="75" fillId="0" borderId="77" xfId="0" applyNumberFormat="1" applyFont="1" applyBorder="1"/>
    <xf numFmtId="168" fontId="75" fillId="0" borderId="78" xfId="0" applyNumberFormat="1" applyFont="1" applyBorder="1"/>
    <xf numFmtId="168" fontId="75" fillId="25" borderId="110" xfId="0" applyNumberFormat="1" applyFont="1" applyFill="1" applyBorder="1"/>
    <xf numFmtId="0" fontId="18" fillId="0" borderId="147" xfId="0" applyFont="1" applyBorder="1"/>
    <xf numFmtId="3" fontId="18" fillId="0" borderId="33" xfId="0" applyNumberFormat="1" applyFont="1" applyBorder="1"/>
    <xf numFmtId="0" fontId="18" fillId="0" borderId="149" xfId="0" applyFont="1" applyBorder="1"/>
    <xf numFmtId="3" fontId="18" fillId="0" borderId="52" xfId="0" applyNumberFormat="1" applyFont="1" applyBorder="1"/>
    <xf numFmtId="0" fontId="18" fillId="0" borderId="153" xfId="0" applyFont="1" applyBorder="1"/>
    <xf numFmtId="3" fontId="18" fillId="0" borderId="35" xfId="0" applyNumberFormat="1" applyFont="1" applyBorder="1"/>
    <xf numFmtId="3" fontId="18" fillId="0" borderId="99" xfId="0" applyNumberFormat="1" applyFont="1" applyBorder="1"/>
    <xf numFmtId="0" fontId="18" fillId="0" borderId="154" xfId="0" applyFont="1" applyBorder="1"/>
    <xf numFmtId="3" fontId="18" fillId="0" borderId="69" xfId="0" applyNumberFormat="1" applyFont="1" applyBorder="1"/>
    <xf numFmtId="3" fontId="18" fillId="0" borderId="91" xfId="0" applyNumberFormat="1" applyFont="1" applyBorder="1"/>
    <xf numFmtId="1" fontId="18" fillId="0" borderId="52" xfId="0" applyNumberFormat="1" applyFont="1" applyBorder="1"/>
    <xf numFmtId="168" fontId="18" fillId="0" borderId="52" xfId="0" applyNumberFormat="1" applyFont="1" applyBorder="1"/>
    <xf numFmtId="168" fontId="18" fillId="0" borderId="77" xfId="0" applyNumberFormat="1" applyFont="1" applyBorder="1"/>
    <xf numFmtId="168" fontId="18" fillId="0" borderId="99" xfId="0" applyNumberFormat="1" applyFont="1" applyBorder="1"/>
    <xf numFmtId="173" fontId="18" fillId="0" borderId="52" xfId="0" applyNumberFormat="1" applyFont="1" applyBorder="1"/>
    <xf numFmtId="173" fontId="18" fillId="0" borderId="88" xfId="0" applyNumberFormat="1" applyFont="1" applyBorder="1"/>
    <xf numFmtId="173" fontId="18" fillId="0" borderId="35" xfId="0" applyNumberFormat="1" applyFont="1" applyBorder="1"/>
    <xf numFmtId="0" fontId="21" fillId="0" borderId="147" xfId="0" applyFont="1" applyBorder="1"/>
    <xf numFmtId="0" fontId="21" fillId="0" borderId="153" xfId="0" applyFont="1" applyBorder="1"/>
    <xf numFmtId="0" fontId="18" fillId="0" borderId="148" xfId="0" applyFont="1" applyBorder="1"/>
    <xf numFmtId="168" fontId="18" fillId="0" borderId="45" xfId="0" applyNumberFormat="1" applyFont="1" applyBorder="1"/>
    <xf numFmtId="0" fontId="21" fillId="25" borderId="89" xfId="0" applyFont="1" applyFill="1" applyBorder="1"/>
    <xf numFmtId="0" fontId="21" fillId="25" borderId="75" xfId="0" applyFont="1" applyFill="1" applyBorder="1"/>
    <xf numFmtId="10" fontId="18" fillId="0" borderId="33" xfId="0" applyNumberFormat="1" applyFont="1" applyBorder="1"/>
    <xf numFmtId="10" fontId="18" fillId="0" borderId="77" xfId="0" applyNumberFormat="1" applyFont="1" applyBorder="1"/>
    <xf numFmtId="0" fontId="21" fillId="25" borderId="146" xfId="0" applyFont="1" applyFill="1" applyBorder="1"/>
    <xf numFmtId="0" fontId="21" fillId="25" borderId="43" xfId="0" applyFont="1" applyFill="1" applyBorder="1"/>
    <xf numFmtId="0" fontId="32" fillId="20" borderId="66" xfId="0" applyFont="1" applyFill="1" applyBorder="1"/>
    <xf numFmtId="168" fontId="21" fillId="0" borderId="2" xfId="0" applyNumberFormat="1" applyFont="1" applyBorder="1"/>
    <xf numFmtId="168" fontId="21" fillId="0" borderId="3" xfId="0" applyNumberFormat="1" applyFont="1" applyBorder="1"/>
    <xf numFmtId="0" fontId="21" fillId="0" borderId="3" xfId="0" applyFont="1" applyBorder="1" applyAlignment="1">
      <alignment horizontal="right"/>
    </xf>
    <xf numFmtId="167" fontId="27" fillId="0" borderId="0" xfId="5" applyNumberFormat="1" applyFont="1"/>
    <xf numFmtId="0" fontId="0" fillId="0" borderId="129" xfId="0" applyBorder="1"/>
    <xf numFmtId="0" fontId="0" fillId="0" borderId="23" xfId="0" applyBorder="1"/>
    <xf numFmtId="167" fontId="18" fillId="0" borderId="54" xfId="0" applyNumberFormat="1" applyFont="1" applyBorder="1"/>
    <xf numFmtId="10" fontId="18" fillId="0" borderId="45" xfId="0" applyNumberFormat="1" applyFont="1" applyBorder="1"/>
    <xf numFmtId="10" fontId="18" fillId="0" borderId="80" xfId="0" applyNumberFormat="1" applyFont="1" applyBorder="1"/>
    <xf numFmtId="0" fontId="18" fillId="0" borderId="33" xfId="0" applyFont="1" applyBorder="1" applyAlignment="1">
      <alignment wrapText="1"/>
    </xf>
    <xf numFmtId="0" fontId="18" fillId="0" borderId="40" xfId="0" applyFont="1" applyBorder="1" applyAlignment="1">
      <alignment horizontal="left" vertical="center"/>
    </xf>
    <xf numFmtId="0" fontId="18" fillId="0" borderId="77" xfId="0" applyFont="1" applyBorder="1" applyAlignment="1">
      <alignment wrapText="1"/>
    </xf>
    <xf numFmtId="0" fontId="18" fillId="0" borderId="159" xfId="0" applyFont="1" applyBorder="1"/>
    <xf numFmtId="0" fontId="0" fillId="0" borderId="161" xfId="0" applyBorder="1"/>
    <xf numFmtId="0" fontId="32" fillId="0" borderId="72" xfId="0" applyFont="1" applyBorder="1"/>
    <xf numFmtId="0" fontId="32" fillId="7" borderId="72" xfId="0" applyFont="1" applyFill="1" applyBorder="1"/>
    <xf numFmtId="0" fontId="0" fillId="0" borderId="6" xfId="0" applyBorder="1" applyAlignment="1">
      <alignment horizontal="center" wrapText="1"/>
    </xf>
    <xf numFmtId="0" fontId="0" fillId="0" borderId="6" xfId="0" applyBorder="1" applyAlignment="1">
      <alignment horizontal="center"/>
    </xf>
    <xf numFmtId="0" fontId="21" fillId="0" borderId="89" xfId="0" applyFont="1" applyBorder="1"/>
    <xf numFmtId="0" fontId="21" fillId="0" borderId="75" xfId="0" applyFont="1" applyBorder="1"/>
    <xf numFmtId="168" fontId="18" fillId="0" borderId="16" xfId="0" applyNumberFormat="1" applyFont="1" applyBorder="1"/>
    <xf numFmtId="168" fontId="18" fillId="0" borderId="157" xfId="0" applyNumberFormat="1" applyFont="1" applyBorder="1"/>
    <xf numFmtId="168" fontId="18" fillId="0" borderId="56" xfId="0" applyNumberFormat="1" applyFont="1" applyBorder="1"/>
    <xf numFmtId="168" fontId="18" fillId="0" borderId="57" xfId="0" applyNumberFormat="1" applyFont="1" applyBorder="1"/>
    <xf numFmtId="168" fontId="18" fillId="0" borderId="58" xfId="0" applyNumberFormat="1" applyFont="1" applyBorder="1"/>
    <xf numFmtId="168" fontId="18" fillId="0" borderId="126" xfId="0" applyNumberFormat="1" applyFont="1" applyBorder="1"/>
    <xf numFmtId="168" fontId="18" fillId="0" borderId="156" xfId="0" applyNumberFormat="1" applyFont="1" applyBorder="1"/>
    <xf numFmtId="0" fontId="21" fillId="25" borderId="162" xfId="0" applyFont="1" applyFill="1" applyBorder="1"/>
    <xf numFmtId="0" fontId="21" fillId="0" borderId="90" xfId="0" applyFont="1" applyBorder="1"/>
    <xf numFmtId="168" fontId="18" fillId="0" borderId="116" xfId="0" applyNumberFormat="1" applyFont="1" applyBorder="1"/>
    <xf numFmtId="0" fontId="21" fillId="0" borderId="85" xfId="0" applyFont="1" applyBorder="1"/>
    <xf numFmtId="0" fontId="21" fillId="0" borderId="7" xfId="0" applyFont="1" applyBorder="1"/>
    <xf numFmtId="168" fontId="18" fillId="0" borderId="10" xfId="0" applyNumberFormat="1" applyFont="1" applyBorder="1"/>
    <xf numFmtId="168" fontId="18" fillId="0" borderId="21" xfId="0" applyNumberFormat="1" applyFont="1" applyBorder="1"/>
    <xf numFmtId="168" fontId="18" fillId="0" borderId="61" xfId="0" applyNumberFormat="1" applyFont="1" applyBorder="1"/>
    <xf numFmtId="0" fontId="21" fillId="9" borderId="70" xfId="0" applyFont="1" applyFill="1" applyBorder="1" applyAlignment="1">
      <alignment horizontal="right"/>
    </xf>
    <xf numFmtId="1" fontId="18" fillId="0" borderId="54" xfId="0" applyNumberFormat="1" applyFont="1" applyBorder="1"/>
    <xf numFmtId="1" fontId="18" fillId="0" borderId="116" xfId="0" applyNumberFormat="1" applyFont="1" applyBorder="1"/>
    <xf numFmtId="0" fontId="21" fillId="0" borderId="64" xfId="0" applyFont="1" applyBorder="1"/>
    <xf numFmtId="0" fontId="21" fillId="0" borderId="65" xfId="0" applyFont="1" applyBorder="1"/>
    <xf numFmtId="2" fontId="18" fillId="0" borderId="116" xfId="0" applyNumberFormat="1" applyFont="1" applyBorder="1"/>
    <xf numFmtId="0" fontId="93" fillId="25" borderId="89" xfId="0" applyFont="1" applyFill="1" applyBorder="1"/>
    <xf numFmtId="0" fontId="93" fillId="25" borderId="75" xfId="0" applyFont="1" applyFill="1" applyBorder="1"/>
    <xf numFmtId="0" fontId="93" fillId="25" borderId="76" xfId="0" applyFont="1" applyFill="1" applyBorder="1" applyAlignment="1">
      <alignment horizontal="center"/>
    </xf>
    <xf numFmtId="0" fontId="86" fillId="0" borderId="149" xfId="0" applyFont="1" applyBorder="1"/>
    <xf numFmtId="0" fontId="86" fillId="0" borderId="52" xfId="0" applyFont="1" applyBorder="1"/>
    <xf numFmtId="168" fontId="86" fillId="0" borderId="52" xfId="0" applyNumberFormat="1" applyFont="1" applyBorder="1"/>
    <xf numFmtId="168" fontId="93" fillId="0" borderId="88" xfId="0" applyNumberFormat="1" applyFont="1" applyBorder="1"/>
    <xf numFmtId="0" fontId="86" fillId="0" borderId="147" xfId="0" applyFont="1" applyBorder="1"/>
    <xf numFmtId="0" fontId="86" fillId="0" borderId="33" xfId="0" applyFont="1" applyBorder="1"/>
    <xf numFmtId="168" fontId="93" fillId="0" borderId="77" xfId="0" applyNumberFormat="1" applyFont="1" applyBorder="1"/>
    <xf numFmtId="0" fontId="86" fillId="0" borderId="150" xfId="0" applyFont="1" applyBorder="1"/>
    <xf numFmtId="0" fontId="86" fillId="0" borderId="37" xfId="0" applyFont="1" applyBorder="1"/>
    <xf numFmtId="168" fontId="93" fillId="0" borderId="78" xfId="0" applyNumberFormat="1" applyFont="1" applyBorder="1"/>
    <xf numFmtId="0" fontId="86" fillId="25" borderId="151" xfId="0" applyFont="1" applyFill="1" applyBorder="1"/>
    <xf numFmtId="0" fontId="86" fillId="25" borderId="152" xfId="0" applyFont="1" applyFill="1" applyBorder="1"/>
    <xf numFmtId="168" fontId="86" fillId="25" borderId="152" xfId="0" applyNumberFormat="1" applyFont="1" applyFill="1" applyBorder="1"/>
    <xf numFmtId="168" fontId="93" fillId="25" borderId="110" xfId="0" applyNumberFormat="1" applyFont="1" applyFill="1" applyBorder="1"/>
    <xf numFmtId="0" fontId="21" fillId="25" borderId="76" xfId="0" applyFont="1" applyFill="1" applyBorder="1" applyAlignment="1">
      <alignment horizontal="right"/>
    </xf>
    <xf numFmtId="0" fontId="94" fillId="0" borderId="0" xfId="0" applyFont="1"/>
    <xf numFmtId="0" fontId="18" fillId="0" borderId="150" xfId="0" applyFont="1" applyBorder="1"/>
    <xf numFmtId="177" fontId="18" fillId="0" borderId="37" xfId="0" applyNumberFormat="1" applyFont="1" applyBorder="1"/>
    <xf numFmtId="10" fontId="18" fillId="0" borderId="37" xfId="0" applyNumberFormat="1" applyFont="1" applyBorder="1"/>
    <xf numFmtId="0" fontId="27" fillId="0" borderId="0" xfId="8" applyFont="1"/>
    <xf numFmtId="0" fontId="27" fillId="0" borderId="128" xfId="8" applyFont="1" applyBorder="1"/>
    <xf numFmtId="0" fontId="27" fillId="0" borderId="18" xfId="8" applyFont="1" applyBorder="1"/>
    <xf numFmtId="179" fontId="27" fillId="0" borderId="18" xfId="10" applyNumberFormat="1" applyFont="1" applyBorder="1"/>
    <xf numFmtId="167" fontId="8" fillId="0" borderId="163" xfId="11" applyNumberFormat="1" applyFont="1" applyBorder="1"/>
    <xf numFmtId="179" fontId="27" fillId="0" borderId="0" xfId="10" applyNumberFormat="1" applyFont="1"/>
    <xf numFmtId="179" fontId="27" fillId="0" borderId="128" xfId="8" applyNumberFormat="1" applyFont="1" applyBorder="1"/>
    <xf numFmtId="9" fontId="27" fillId="0" borderId="164" xfId="11" applyFont="1" applyBorder="1"/>
    <xf numFmtId="179" fontId="27" fillId="0" borderId="126" xfId="8" applyNumberFormat="1" applyFont="1" applyBorder="1"/>
    <xf numFmtId="179" fontId="27" fillId="0" borderId="164" xfId="8" applyNumberFormat="1" applyFont="1" applyBorder="1"/>
    <xf numFmtId="0" fontId="27" fillId="0" borderId="11" xfId="8" applyFont="1" applyBorder="1"/>
    <xf numFmtId="179" fontId="27" fillId="0" borderId="11" xfId="10" applyNumberFormat="1" applyFont="1" applyBorder="1"/>
    <xf numFmtId="167" fontId="8" fillId="0" borderId="141" xfId="11" applyNumberFormat="1" applyFont="1" applyBorder="1"/>
    <xf numFmtId="179" fontId="27" fillId="0" borderId="12" xfId="10" applyNumberFormat="1" applyFont="1" applyBorder="1"/>
    <xf numFmtId="179" fontId="27" fillId="0" borderId="0" xfId="8" applyNumberFormat="1" applyFont="1"/>
    <xf numFmtId="0" fontId="27" fillId="0" borderId="18" xfId="8" applyFont="1" applyBorder="1" applyAlignment="1">
      <alignment wrapText="1"/>
    </xf>
    <xf numFmtId="179" fontId="27" fillId="0" borderId="18" xfId="10" applyNumberFormat="1" applyFont="1" applyBorder="1" applyAlignment="1">
      <alignment horizontal="right" vertical="center"/>
    </xf>
    <xf numFmtId="167" fontId="8" fillId="0" borderId="163" xfId="11" applyNumberFormat="1" applyFont="1" applyBorder="1" applyAlignment="1">
      <alignment horizontal="right" vertical="center"/>
    </xf>
    <xf numFmtId="179" fontId="27" fillId="0" borderId="0" xfId="10" applyNumberFormat="1" applyFont="1" applyAlignment="1">
      <alignment horizontal="right" vertical="center"/>
    </xf>
    <xf numFmtId="0" fontId="27" fillId="0" borderId="15" xfId="8" applyFont="1" applyBorder="1"/>
    <xf numFmtId="179" fontId="27" fillId="0" borderId="15" xfId="10" applyNumberFormat="1" applyFont="1" applyBorder="1"/>
    <xf numFmtId="167" fontId="8" fillId="0" borderId="165" xfId="11" applyNumberFormat="1" applyFont="1" applyBorder="1"/>
    <xf numFmtId="179" fontId="27" fillId="0" borderId="16" xfId="10" applyNumberFormat="1" applyFont="1" applyBorder="1"/>
    <xf numFmtId="0" fontId="27" fillId="0" borderId="126" xfId="8" applyFont="1" applyBorder="1"/>
    <xf numFmtId="0" fontId="27" fillId="0" borderId="156" xfId="8" applyFont="1" applyBorder="1"/>
    <xf numFmtId="0" fontId="28" fillId="0" borderId="166" xfId="8" applyFont="1" applyBorder="1" applyAlignment="1">
      <alignment horizontal="center"/>
    </xf>
    <xf numFmtId="0" fontId="28" fillId="0" borderId="167" xfId="8" applyFont="1" applyBorder="1" applyAlignment="1">
      <alignment horizontal="center"/>
    </xf>
    <xf numFmtId="0" fontId="28" fillId="0" borderId="164" xfId="8" applyFont="1" applyBorder="1" applyAlignment="1">
      <alignment horizontal="center"/>
    </xf>
    <xf numFmtId="0" fontId="27" fillId="0" borderId="138" xfId="8" applyFont="1" applyBorder="1"/>
    <xf numFmtId="0" fontId="27" fillId="0" borderId="115" xfId="8" applyFont="1" applyBorder="1"/>
    <xf numFmtId="179" fontId="27" fillId="0" borderId="129" xfId="12" applyNumberFormat="1" applyFont="1" applyBorder="1"/>
    <xf numFmtId="179" fontId="27" fillId="0" borderId="23" xfId="12" applyNumberFormat="1" applyFont="1" applyBorder="1"/>
    <xf numFmtId="179" fontId="27" fillId="0" borderId="130" xfId="12" applyNumberFormat="1" applyFont="1" applyBorder="1"/>
    <xf numFmtId="0" fontId="27" fillId="0" borderId="139" xfId="8" applyFont="1" applyBorder="1"/>
    <xf numFmtId="0" fontId="27" fillId="0" borderId="2" xfId="8" applyFont="1" applyBorder="1"/>
    <xf numFmtId="179" fontId="27" fillId="0" borderId="131" xfId="12" applyNumberFormat="1" applyFont="1" applyBorder="1"/>
    <xf numFmtId="179" fontId="27" fillId="0" borderId="6" xfId="12" applyNumberFormat="1" applyFont="1" applyBorder="1"/>
    <xf numFmtId="179" fontId="27" fillId="0" borderId="132" xfId="12" applyNumberFormat="1" applyFont="1" applyBorder="1"/>
    <xf numFmtId="0" fontId="27" fillId="0" borderId="140" xfId="8" applyFont="1" applyBorder="1"/>
    <xf numFmtId="0" fontId="27" fillId="0" borderId="113" xfId="8" applyFont="1" applyBorder="1"/>
    <xf numFmtId="179" fontId="27" fillId="0" borderId="107" xfId="12" applyNumberFormat="1" applyFont="1" applyBorder="1"/>
    <xf numFmtId="179" fontId="27" fillId="0" borderId="24" xfId="12" applyNumberFormat="1" applyFont="1" applyBorder="1"/>
    <xf numFmtId="179" fontId="27" fillId="0" borderId="158" xfId="12" applyNumberFormat="1" applyFont="1" applyBorder="1"/>
    <xf numFmtId="0" fontId="28" fillId="0" borderId="155" xfId="8" applyFont="1" applyBorder="1" applyAlignment="1">
      <alignment horizontal="center" vertical="center"/>
    </xf>
    <xf numFmtId="0" fontId="27" fillId="0" borderId="155" xfId="8" applyFont="1" applyBorder="1"/>
    <xf numFmtId="179" fontId="27" fillId="0" borderId="166" xfId="12" applyNumberFormat="1" applyFont="1" applyBorder="1"/>
    <xf numFmtId="179" fontId="27" fillId="0" borderId="167" xfId="12" applyNumberFormat="1" applyFont="1" applyBorder="1"/>
    <xf numFmtId="179" fontId="27" fillId="0" borderId="164" xfId="12" applyNumberFormat="1" applyFont="1" applyBorder="1"/>
    <xf numFmtId="0" fontId="28" fillId="0" borderId="155" xfId="8" applyFont="1" applyBorder="1" applyAlignment="1">
      <alignment horizontal="center"/>
    </xf>
    <xf numFmtId="0" fontId="55" fillId="0" borderId="84" xfId="0" applyFont="1" applyBorder="1"/>
    <xf numFmtId="0" fontId="55" fillId="0" borderId="4" xfId="0" applyFont="1" applyBorder="1"/>
    <xf numFmtId="0" fontId="55" fillId="0" borderId="168" xfId="0" applyFont="1" applyBorder="1"/>
    <xf numFmtId="0" fontId="55" fillId="0" borderId="8" xfId="0" applyFont="1" applyBorder="1"/>
    <xf numFmtId="0" fontId="55" fillId="0" borderId="129" xfId="0" applyFont="1" applyBorder="1"/>
    <xf numFmtId="0" fontId="55" fillId="0" borderId="169" xfId="0" applyFont="1" applyBorder="1"/>
    <xf numFmtId="166" fontId="55" fillId="0" borderId="130" xfId="0" applyNumberFormat="1" applyFont="1" applyBorder="1"/>
    <xf numFmtId="0" fontId="0" fillId="0" borderId="160" xfId="0" applyBorder="1"/>
    <xf numFmtId="166" fontId="55" fillId="11" borderId="130" xfId="0" applyNumberFormat="1" applyFont="1" applyFill="1" applyBorder="1"/>
    <xf numFmtId="9" fontId="0" fillId="0" borderId="0" xfId="0" applyNumberFormat="1"/>
    <xf numFmtId="0" fontId="55" fillId="0" borderId="107" xfId="0" applyFont="1" applyBorder="1"/>
    <xf numFmtId="0" fontId="55" fillId="0" borderId="137" xfId="0" applyFont="1" applyBorder="1"/>
    <xf numFmtId="166" fontId="55" fillId="0" borderId="158" xfId="0" applyNumberFormat="1" applyFont="1" applyBorder="1"/>
    <xf numFmtId="2" fontId="0" fillId="0" borderId="107" xfId="0" applyNumberFormat="1" applyBorder="1"/>
    <xf numFmtId="1" fontId="0" fillId="0" borderId="24" xfId="0" applyNumberFormat="1" applyBorder="1"/>
    <xf numFmtId="2" fontId="0" fillId="0" borderId="161" xfId="0" applyNumberFormat="1" applyBorder="1"/>
    <xf numFmtId="166" fontId="55" fillId="11" borderId="158" xfId="0" applyNumberFormat="1" applyFont="1" applyFill="1" applyBorder="1"/>
    <xf numFmtId="0" fontId="55" fillId="0" borderId="170" xfId="0" applyFont="1" applyBorder="1"/>
    <xf numFmtId="0" fontId="55" fillId="0" borderId="171" xfId="0" applyFont="1" applyBorder="1"/>
    <xf numFmtId="0" fontId="0" fillId="0" borderId="166" xfId="0" applyBorder="1"/>
    <xf numFmtId="0" fontId="0" fillId="0" borderId="167" xfId="0" applyBorder="1"/>
    <xf numFmtId="166" fontId="55" fillId="11" borderId="164" xfId="0" applyNumberFormat="1" applyFont="1" applyFill="1" applyBorder="1"/>
    <xf numFmtId="0" fontId="0" fillId="0" borderId="172" xfId="0" applyBorder="1"/>
    <xf numFmtId="166" fontId="55" fillId="13" borderId="164" xfId="0" applyNumberFormat="1" applyFont="1" applyFill="1" applyBorder="1"/>
    <xf numFmtId="0" fontId="55" fillId="0" borderId="22" xfId="0" applyFont="1" applyBorder="1"/>
    <xf numFmtId="166" fontId="55" fillId="0" borderId="169" xfId="0" applyNumberFormat="1" applyFont="1" applyBorder="1"/>
    <xf numFmtId="166" fontId="55" fillId="11" borderId="133" xfId="0" applyNumberFormat="1" applyFont="1" applyFill="1" applyBorder="1"/>
    <xf numFmtId="166" fontId="55" fillId="0" borderId="137" xfId="0" applyNumberFormat="1" applyFont="1" applyBorder="1"/>
    <xf numFmtId="166" fontId="55" fillId="11" borderId="20" xfId="0" applyNumberFormat="1" applyFont="1" applyFill="1" applyBorder="1"/>
    <xf numFmtId="0" fontId="55" fillId="0" borderId="166" xfId="0" applyFont="1" applyBorder="1"/>
    <xf numFmtId="0" fontId="55" fillId="0" borderId="173" xfId="0" applyFont="1" applyBorder="1"/>
    <xf numFmtId="166" fontId="55" fillId="11" borderId="173" xfId="0" applyNumberFormat="1" applyFont="1" applyFill="1" applyBorder="1"/>
    <xf numFmtId="0" fontId="79" fillId="25" borderId="92" xfId="0" applyFont="1" applyFill="1" applyBorder="1" applyAlignment="1">
      <alignment horizontal="left"/>
    </xf>
    <xf numFmtId="168" fontId="11" fillId="25" borderId="29" xfId="0" applyNumberFormat="1" applyFont="1" applyFill="1" applyBorder="1"/>
    <xf numFmtId="0" fontId="0" fillId="25" borderId="0" xfId="0" applyFill="1"/>
    <xf numFmtId="9" fontId="0" fillId="25" borderId="0" xfId="0" applyNumberFormat="1" applyFill="1"/>
    <xf numFmtId="0" fontId="91" fillId="0" borderId="0" xfId="0" applyFont="1"/>
    <xf numFmtId="0" fontId="0" fillId="0" borderId="4" xfId="0" applyBorder="1" applyAlignment="1">
      <alignment horizontal="center"/>
    </xf>
    <xf numFmtId="0" fontId="0" fillId="0" borderId="7" xfId="0" applyBorder="1" applyAlignment="1">
      <alignment horizontal="center"/>
    </xf>
    <xf numFmtId="0" fontId="0" fillId="0" borderId="23" xfId="0" applyBorder="1" applyAlignment="1">
      <alignment horizontal="center" wrapText="1"/>
    </xf>
    <xf numFmtId="0" fontId="0" fillId="0" borderId="23" xfId="0" applyBorder="1" applyAlignment="1">
      <alignment horizontal="center"/>
    </xf>
    <xf numFmtId="0" fontId="0" fillId="0" borderId="130" xfId="0" applyBorder="1" applyAlignment="1">
      <alignment horizontal="center"/>
    </xf>
    <xf numFmtId="0" fontId="0" fillId="0" borderId="132" xfId="0" applyBorder="1" applyAlignment="1">
      <alignment horizontal="center"/>
    </xf>
    <xf numFmtId="0" fontId="0" fillId="0" borderId="24" xfId="0" applyBorder="1" applyAlignment="1">
      <alignment horizontal="center" wrapText="1"/>
    </xf>
    <xf numFmtId="0" fontId="0" fillId="0" borderId="24" xfId="0" applyBorder="1" applyAlignment="1">
      <alignment horizontal="center"/>
    </xf>
    <xf numFmtId="0" fontId="0" fillId="0" borderId="158" xfId="0" applyBorder="1" applyAlignment="1">
      <alignment horizontal="center"/>
    </xf>
    <xf numFmtId="0" fontId="0" fillId="0" borderId="73" xfId="0" applyBorder="1"/>
    <xf numFmtId="0" fontId="0" fillId="0" borderId="174" xfId="0" applyBorder="1"/>
    <xf numFmtId="0" fontId="0" fillId="0" borderId="160" xfId="0" applyBorder="1" applyAlignment="1">
      <alignment horizontal="center" wrapText="1"/>
    </xf>
    <xf numFmtId="0" fontId="0" fillId="0" borderId="3" xfId="0" applyBorder="1" applyAlignment="1">
      <alignment horizontal="center" wrapText="1"/>
    </xf>
    <xf numFmtId="0" fontId="0" fillId="0" borderId="129" xfId="0" applyBorder="1" applyAlignment="1">
      <alignment horizontal="center"/>
    </xf>
    <xf numFmtId="0" fontId="0" fillId="0" borderId="130" xfId="0" applyBorder="1" applyAlignment="1">
      <alignment horizontal="center" wrapText="1"/>
    </xf>
    <xf numFmtId="0" fontId="0" fillId="0" borderId="131" xfId="0" applyBorder="1" applyAlignment="1">
      <alignment horizontal="center"/>
    </xf>
    <xf numFmtId="0" fontId="0" fillId="0" borderId="132" xfId="0" applyBorder="1" applyAlignment="1">
      <alignment horizontal="center" wrapText="1"/>
    </xf>
    <xf numFmtId="0" fontId="0" fillId="0" borderId="107" xfId="0" applyBorder="1" applyAlignment="1">
      <alignment horizontal="center"/>
    </xf>
    <xf numFmtId="0" fontId="0" fillId="0" borderId="158" xfId="0" applyBorder="1" applyAlignment="1">
      <alignment horizontal="center" wrapText="1"/>
    </xf>
    <xf numFmtId="0" fontId="0" fillId="0" borderId="174" xfId="0" applyBorder="1" applyAlignment="1">
      <alignment wrapText="1"/>
    </xf>
    <xf numFmtId="0" fontId="0" fillId="0" borderId="175" xfId="0" applyBorder="1"/>
    <xf numFmtId="0" fontId="0" fillId="0" borderId="161" xfId="0" applyBorder="1" applyAlignment="1">
      <alignment horizontal="center" wrapText="1"/>
    </xf>
    <xf numFmtId="0" fontId="55" fillId="0" borderId="11" xfId="0" applyFont="1" applyBorder="1"/>
    <xf numFmtId="0" fontId="55" fillId="0" borderId="81" xfId="0" applyFont="1" applyBorder="1"/>
    <xf numFmtId="0" fontId="55" fillId="0" borderId="82" xfId="0" applyFont="1" applyBorder="1" applyAlignment="1">
      <alignment horizontal="left" vertical="top"/>
    </xf>
    <xf numFmtId="0" fontId="55" fillId="0" borderId="141" xfId="0" applyFont="1" applyBorder="1" applyAlignment="1">
      <alignment horizontal="left" vertical="top"/>
    </xf>
    <xf numFmtId="0" fontId="55" fillId="0" borderId="176" xfId="0" applyFont="1" applyBorder="1" applyAlignment="1">
      <alignment horizontal="left" vertical="top"/>
    </xf>
    <xf numFmtId="0" fontId="55" fillId="0" borderId="82" xfId="0" applyFont="1" applyBorder="1"/>
    <xf numFmtId="0" fontId="55" fillId="0" borderId="141" xfId="0" applyFont="1" applyBorder="1" applyAlignment="1">
      <alignment horizontal="center"/>
    </xf>
    <xf numFmtId="0" fontId="0" fillId="0" borderId="177" xfId="0" applyBorder="1"/>
    <xf numFmtId="0" fontId="0" fillId="0" borderId="21" xfId="0" applyBorder="1" applyAlignment="1">
      <alignment horizontal="center" wrapText="1"/>
    </xf>
    <xf numFmtId="0" fontId="0" fillId="0" borderId="178" xfId="0" applyBorder="1" applyAlignment="1">
      <alignment horizontal="center"/>
    </xf>
    <xf numFmtId="10" fontId="18" fillId="0" borderId="78" xfId="0" applyNumberFormat="1" applyFont="1" applyBorder="1"/>
    <xf numFmtId="10" fontId="18" fillId="0" borderId="86" xfId="0" applyNumberFormat="1" applyFont="1" applyBorder="1"/>
    <xf numFmtId="10" fontId="18" fillId="0" borderId="57" xfId="0" applyNumberFormat="1" applyFont="1" applyBorder="1"/>
    <xf numFmtId="10" fontId="18" fillId="0" borderId="179" xfId="0" applyNumberFormat="1" applyFont="1" applyBorder="1"/>
    <xf numFmtId="10" fontId="18" fillId="0" borderId="58" xfId="0" applyNumberFormat="1" applyFont="1" applyBorder="1"/>
    <xf numFmtId="0" fontId="21" fillId="25" borderId="180" xfId="0" applyFont="1" applyFill="1" applyBorder="1"/>
    <xf numFmtId="3" fontId="18" fillId="0" borderId="56" xfId="0" applyNumberFormat="1" applyFont="1" applyBorder="1"/>
    <xf numFmtId="3" fontId="18" fillId="0" borderId="59" xfId="0" applyNumberFormat="1" applyFont="1" applyBorder="1"/>
    <xf numFmtId="3" fontId="18" fillId="0" borderId="95" xfId="0" applyNumberFormat="1" applyFont="1" applyBorder="1"/>
    <xf numFmtId="1" fontId="18" fillId="0" borderId="56" xfId="0" applyNumberFormat="1" applyFont="1" applyBorder="1"/>
    <xf numFmtId="1" fontId="18" fillId="0" borderId="57" xfId="0" applyNumberFormat="1" applyFont="1" applyBorder="1"/>
    <xf numFmtId="1" fontId="18" fillId="0" borderId="59" xfId="0" applyNumberFormat="1" applyFont="1" applyBorder="1"/>
    <xf numFmtId="3" fontId="18" fillId="0" borderId="57" xfId="0" applyNumberFormat="1" applyFont="1" applyBorder="1"/>
    <xf numFmtId="168" fontId="18" fillId="0" borderId="59" xfId="0" applyNumberFormat="1" applyFont="1" applyBorder="1"/>
    <xf numFmtId="173" fontId="18" fillId="0" borderId="59" xfId="0" applyNumberFormat="1" applyFont="1" applyBorder="1"/>
    <xf numFmtId="173" fontId="18" fillId="0" borderId="56" xfId="0" applyNumberFormat="1" applyFont="1" applyBorder="1"/>
    <xf numFmtId="0" fontId="21" fillId="0" borderId="180" xfId="0" applyFont="1" applyBorder="1"/>
    <xf numFmtId="3" fontId="18" fillId="0" borderId="79" xfId="0" applyNumberFormat="1" applyFont="1" applyBorder="1"/>
    <xf numFmtId="3" fontId="18" fillId="0" borderId="88" xfId="0" applyNumberFormat="1" applyFont="1" applyBorder="1"/>
    <xf numFmtId="3" fontId="18" fillId="0" borderId="77" xfId="0" applyNumberFormat="1" applyFont="1" applyBorder="1"/>
    <xf numFmtId="168" fontId="18" fillId="0" borderId="88" xfId="0" applyNumberFormat="1" applyFont="1" applyBorder="1"/>
    <xf numFmtId="173" fontId="18" fillId="0" borderId="99" xfId="0" applyNumberFormat="1" applyFont="1" applyBorder="1"/>
    <xf numFmtId="167" fontId="73" fillId="0" borderId="0" xfId="9" applyNumberFormat="1" applyFont="1"/>
    <xf numFmtId="177" fontId="18" fillId="0" borderId="0" xfId="9" applyNumberFormat="1" applyFont="1" applyFill="1" applyBorder="1"/>
    <xf numFmtId="9" fontId="73" fillId="0" borderId="0" xfId="0" applyNumberFormat="1" applyFont="1"/>
    <xf numFmtId="0" fontId="91" fillId="0" borderId="6" xfId="0" applyFont="1" applyBorder="1" applyAlignment="1">
      <alignment horizontal="center"/>
    </xf>
    <xf numFmtId="3" fontId="73" fillId="0" borderId="54" xfId="0" applyNumberFormat="1" applyFont="1" applyBorder="1"/>
    <xf numFmtId="0" fontId="0" fillId="0" borderId="19" xfId="0" applyBorder="1"/>
    <xf numFmtId="0" fontId="0" fillId="0" borderId="8" xfId="0" applyBorder="1" applyAlignment="1">
      <alignment horizontal="center" wrapText="1"/>
    </xf>
    <xf numFmtId="0" fontId="0" fillId="0" borderId="168" xfId="0" applyBorder="1" applyAlignment="1">
      <alignment horizontal="center"/>
    </xf>
    <xf numFmtId="9" fontId="35" fillId="3" borderId="0" xfId="0" applyNumberFormat="1" applyFont="1" applyFill="1" applyAlignment="1">
      <alignment vertical="center" wrapText="1"/>
    </xf>
    <xf numFmtId="0" fontId="32" fillId="0" borderId="66" xfId="0" applyFont="1" applyBorder="1"/>
    <xf numFmtId="167" fontId="73" fillId="0" borderId="0" xfId="0" applyNumberFormat="1" applyFont="1"/>
    <xf numFmtId="0" fontId="97" fillId="0" borderId="0" xfId="5" applyFont="1"/>
    <xf numFmtId="1" fontId="97" fillId="3" borderId="0" xfId="5" applyNumberFormat="1" applyFont="1" applyFill="1"/>
    <xf numFmtId="3" fontId="73" fillId="0" borderId="0" xfId="0" applyNumberFormat="1" applyFont="1"/>
    <xf numFmtId="9" fontId="86" fillId="0" borderId="0" xfId="0" applyNumberFormat="1" applyFont="1"/>
    <xf numFmtId="180" fontId="73" fillId="0" borderId="0" xfId="0" applyNumberFormat="1" applyFont="1"/>
    <xf numFmtId="168" fontId="18" fillId="3" borderId="0" xfId="0" applyNumberFormat="1" applyFont="1" applyFill="1"/>
    <xf numFmtId="168" fontId="32" fillId="5" borderId="0" xfId="0" applyNumberFormat="1" applyFont="1" applyFill="1"/>
    <xf numFmtId="0" fontId="100" fillId="0" borderId="0" xfId="0" applyFont="1"/>
    <xf numFmtId="168" fontId="100" fillId="0" borderId="0" xfId="0" applyNumberFormat="1" applyFont="1"/>
    <xf numFmtId="168" fontId="32" fillId="0" borderId="0" xfId="0" applyNumberFormat="1" applyFont="1"/>
    <xf numFmtId="0" fontId="0" fillId="4" borderId="0" xfId="0" applyFill="1"/>
    <xf numFmtId="0" fontId="102" fillId="4" borderId="0" xfId="0" applyFont="1" applyFill="1"/>
    <xf numFmtId="0" fontId="0" fillId="4" borderId="181" xfId="0" applyFill="1" applyBorder="1" applyAlignment="1">
      <alignment horizontal="center"/>
    </xf>
    <xf numFmtId="14" fontId="0" fillId="4" borderId="181" xfId="0" applyNumberFormat="1" applyFill="1" applyBorder="1" applyAlignment="1">
      <alignment horizontal="center"/>
    </xf>
    <xf numFmtId="173" fontId="0" fillId="4" borderId="181" xfId="0" applyNumberFormat="1" applyFill="1" applyBorder="1" applyAlignment="1">
      <alignment horizontal="center"/>
    </xf>
    <xf numFmtId="0" fontId="0" fillId="0" borderId="6" xfId="0" applyBorder="1" applyAlignment="1">
      <alignment horizontal="center" vertical="center"/>
    </xf>
    <xf numFmtId="49" fontId="0" fillId="0" borderId="6" xfId="0" applyNumberFormat="1" applyBorder="1" applyAlignment="1">
      <alignment horizontal="center" vertical="center"/>
    </xf>
    <xf numFmtId="49" fontId="0" fillId="0" borderId="6" xfId="0" applyNumberFormat="1" applyBorder="1" applyAlignment="1">
      <alignment horizontal="center" vertical="center" wrapText="1"/>
    </xf>
    <xf numFmtId="0" fontId="0" fillId="0" borderId="6" xfId="0" applyBorder="1" applyAlignment="1">
      <alignment horizontal="center" vertical="center" wrapText="1"/>
    </xf>
    <xf numFmtId="173" fontId="0" fillId="0" borderId="6" xfId="0" applyNumberFormat="1" applyBorder="1" applyAlignment="1">
      <alignment vertical="center"/>
    </xf>
    <xf numFmtId="173" fontId="0" fillId="29" borderId="6" xfId="0" applyNumberFormat="1" applyFill="1" applyBorder="1" applyAlignment="1">
      <alignment horizontal="center" vertical="center"/>
    </xf>
    <xf numFmtId="173" fontId="0" fillId="0" borderId="6" xfId="0" applyNumberFormat="1" applyBorder="1"/>
    <xf numFmtId="173" fontId="0" fillId="0" borderId="6" xfId="0" applyNumberFormat="1" applyBorder="1" applyAlignment="1">
      <alignment horizontal="center" vertical="center"/>
    </xf>
    <xf numFmtId="0" fontId="0" fillId="4" borderId="0" xfId="0" applyFill="1" applyAlignment="1">
      <alignment horizontal="left" vertical="center"/>
    </xf>
    <xf numFmtId="0" fontId="0" fillId="0" borderId="0" xfId="0" applyAlignment="1">
      <alignment horizontal="left" vertical="center"/>
    </xf>
    <xf numFmtId="0" fontId="0" fillId="0" borderId="7" xfId="0" applyBorder="1" applyAlignment="1">
      <alignment horizontal="center" vertical="center"/>
    </xf>
    <xf numFmtId="173" fontId="0" fillId="4" borderId="6" xfId="0" applyNumberFormat="1" applyFill="1" applyBorder="1" applyAlignment="1">
      <alignment horizontal="center" vertical="center"/>
    </xf>
    <xf numFmtId="20" fontId="0" fillId="0" borderId="6" xfId="0" applyNumberFormat="1" applyBorder="1" applyAlignment="1">
      <alignment horizontal="center" vertical="center" wrapText="1"/>
    </xf>
    <xf numFmtId="173" fontId="0" fillId="30" borderId="6" xfId="0" applyNumberFormat="1" applyFill="1" applyBorder="1" applyAlignment="1">
      <alignment horizontal="center" vertical="center"/>
    </xf>
    <xf numFmtId="0" fontId="0" fillId="0" borderId="6" xfId="0" applyBorder="1" applyAlignment="1">
      <alignment horizontal="left" vertical="center"/>
    </xf>
    <xf numFmtId="0" fontId="0" fillId="0" borderId="9" xfId="0" applyBorder="1" applyAlignment="1">
      <alignment horizontal="center" vertical="center" wrapText="1"/>
    </xf>
    <xf numFmtId="0" fontId="103" fillId="4" borderId="7"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7" xfId="0" applyFont="1" applyFill="1" applyBorder="1" applyAlignment="1">
      <alignment horizontal="center" vertical="center" wrapText="1"/>
    </xf>
    <xf numFmtId="0" fontId="0" fillId="4" borderId="1" xfId="0" applyFill="1" applyBorder="1"/>
    <xf numFmtId="0" fontId="0" fillId="4" borderId="9" xfId="0" applyFill="1" applyBorder="1"/>
    <xf numFmtId="173" fontId="55" fillId="15" borderId="6" xfId="0" applyNumberFormat="1" applyFont="1" applyFill="1" applyBorder="1" applyAlignment="1">
      <alignment horizontal="center"/>
    </xf>
    <xf numFmtId="3" fontId="0" fillId="4" borderId="0" xfId="0" applyNumberFormat="1" applyFill="1"/>
    <xf numFmtId="0" fontId="0" fillId="28" borderId="1" xfId="0" applyFill="1" applyBorder="1"/>
    <xf numFmtId="0" fontId="0" fillId="28" borderId="2" xfId="0" applyFill="1" applyBorder="1"/>
    <xf numFmtId="0" fontId="0" fillId="28" borderId="3" xfId="0" applyFill="1" applyBorder="1"/>
    <xf numFmtId="0" fontId="104" fillId="0" borderId="0" xfId="0" applyFont="1"/>
    <xf numFmtId="0" fontId="0" fillId="0" borderId="0" xfId="0" applyAlignment="1">
      <alignment horizontal="center" vertical="center"/>
    </xf>
    <xf numFmtId="0" fontId="0" fillId="0" borderId="0" xfId="0" applyAlignment="1">
      <alignment horizontal="center" vertical="center" wrapText="1"/>
    </xf>
    <xf numFmtId="0" fontId="0" fillId="31" borderId="6" xfId="0" applyFill="1" applyBorder="1" applyAlignment="1">
      <alignment horizontal="center" vertical="center" wrapText="1"/>
    </xf>
    <xf numFmtId="3" fontId="0" fillId="0" borderId="6" xfId="0" applyNumberFormat="1" applyBorder="1" applyAlignment="1">
      <alignment horizontal="center" vertical="center"/>
    </xf>
    <xf numFmtId="3" fontId="0" fillId="0" borderId="6" xfId="0" applyNumberFormat="1" applyBorder="1" applyAlignment="1">
      <alignment horizontal="center" vertical="center" wrapText="1"/>
    </xf>
    <xf numFmtId="0" fontId="105" fillId="0" borderId="0" xfId="0" applyFont="1"/>
    <xf numFmtId="0" fontId="18" fillId="32" borderId="0" xfId="0" applyFont="1" applyFill="1"/>
    <xf numFmtId="168" fontId="18" fillId="32" borderId="0" xfId="0" applyNumberFormat="1" applyFont="1" applyFill="1"/>
    <xf numFmtId="168" fontId="32" fillId="32" borderId="0" xfId="0" applyNumberFormat="1" applyFont="1" applyFill="1"/>
    <xf numFmtId="0" fontId="24" fillId="16" borderId="119" xfId="0" applyFont="1" applyFill="1" applyBorder="1"/>
    <xf numFmtId="0" fontId="24" fillId="16" borderId="118" xfId="0" applyFont="1" applyFill="1" applyBorder="1"/>
    <xf numFmtId="0" fontId="24" fillId="16" borderId="120" xfId="0" applyFont="1" applyFill="1" applyBorder="1"/>
    <xf numFmtId="0" fontId="24" fillId="16" borderId="185" xfId="0" applyFont="1" applyFill="1" applyBorder="1"/>
    <xf numFmtId="0" fontId="24" fillId="16" borderId="186" xfId="0" applyFont="1" applyFill="1" applyBorder="1"/>
    <xf numFmtId="168" fontId="24" fillId="16" borderId="186" xfId="0" applyNumberFormat="1" applyFont="1" applyFill="1" applyBorder="1"/>
    <xf numFmtId="168" fontId="24" fillId="16" borderId="187" xfId="0" applyNumberFormat="1" applyFont="1" applyFill="1" applyBorder="1"/>
    <xf numFmtId="0" fontId="18" fillId="5" borderId="185" xfId="0" applyFont="1" applyFill="1" applyBorder="1"/>
    <xf numFmtId="0" fontId="22" fillId="5" borderId="186" xfId="0" applyFont="1" applyFill="1" applyBorder="1"/>
    <xf numFmtId="0" fontId="18" fillId="5" borderId="186" xfId="0" applyFont="1" applyFill="1" applyBorder="1"/>
    <xf numFmtId="168" fontId="21" fillId="5" borderId="186" xfId="0" applyNumberFormat="1" applyFont="1" applyFill="1" applyBorder="1"/>
    <xf numFmtId="168" fontId="21" fillId="5" borderId="187" xfId="0" applyNumberFormat="1" applyFont="1" applyFill="1" applyBorder="1"/>
    <xf numFmtId="0" fontId="18" fillId="0" borderId="185" xfId="0" applyFont="1" applyBorder="1"/>
    <xf numFmtId="0" fontId="18" fillId="0" borderId="186" xfId="0" applyFont="1" applyBorder="1"/>
    <xf numFmtId="168" fontId="18" fillId="0" borderId="186" xfId="0" applyNumberFormat="1" applyFont="1" applyBorder="1"/>
    <xf numFmtId="168" fontId="32" fillId="5" borderId="187" xfId="0" applyNumberFormat="1" applyFont="1" applyFill="1" applyBorder="1"/>
    <xf numFmtId="0" fontId="18" fillId="3" borderId="186" xfId="0" applyFont="1" applyFill="1" applyBorder="1"/>
    <xf numFmtId="168" fontId="18" fillId="3" borderId="186" xfId="0" applyNumberFormat="1" applyFont="1" applyFill="1" applyBorder="1"/>
    <xf numFmtId="0" fontId="18" fillId="0" borderId="188" xfId="0" applyFont="1" applyBorder="1"/>
    <xf numFmtId="0" fontId="18" fillId="0" borderId="189" xfId="0" applyFont="1" applyBorder="1"/>
    <xf numFmtId="168" fontId="18" fillId="0" borderId="189" xfId="0" applyNumberFormat="1" applyFont="1" applyBorder="1"/>
    <xf numFmtId="168" fontId="18" fillId="0" borderId="185" xfId="0" applyNumberFormat="1" applyFont="1" applyBorder="1"/>
    <xf numFmtId="0" fontId="0" fillId="0" borderId="186" xfId="0" applyBorder="1"/>
    <xf numFmtId="0" fontId="0" fillId="0" borderId="187" xfId="0" applyBorder="1"/>
    <xf numFmtId="0" fontId="18" fillId="0" borderId="187" xfId="0" applyFont="1" applyBorder="1"/>
    <xf numFmtId="168" fontId="18" fillId="0" borderId="188" xfId="0" applyNumberFormat="1" applyFont="1" applyBorder="1"/>
    <xf numFmtId="0" fontId="18" fillId="0" borderId="190" xfId="0" applyFont="1" applyBorder="1"/>
    <xf numFmtId="168" fontId="18" fillId="0" borderId="191" xfId="0" applyNumberFormat="1" applyFont="1" applyBorder="1"/>
    <xf numFmtId="168" fontId="18" fillId="0" borderId="192" xfId="0" applyNumberFormat="1" applyFont="1" applyBorder="1"/>
    <xf numFmtId="0" fontId="18" fillId="0" borderId="197" xfId="0" applyFont="1" applyBorder="1"/>
    <xf numFmtId="0" fontId="18" fillId="0" borderId="198" xfId="0" applyFont="1" applyBorder="1"/>
    <xf numFmtId="168" fontId="32" fillId="5" borderId="190" xfId="0" applyNumberFormat="1" applyFont="1" applyFill="1" applyBorder="1"/>
    <xf numFmtId="168" fontId="21" fillId="5" borderId="185" xfId="0" applyNumberFormat="1" applyFont="1" applyFill="1" applyBorder="1"/>
    <xf numFmtId="168" fontId="21" fillId="5" borderId="196" xfId="0" applyNumberFormat="1" applyFont="1" applyFill="1" applyBorder="1"/>
    <xf numFmtId="168" fontId="21" fillId="5" borderId="197" xfId="0" applyNumberFormat="1" applyFont="1" applyFill="1" applyBorder="1"/>
    <xf numFmtId="0" fontId="107" fillId="16" borderId="182" xfId="0" applyFont="1" applyFill="1" applyBorder="1"/>
    <xf numFmtId="0" fontId="107" fillId="16" borderId="183" xfId="0" applyFont="1" applyFill="1" applyBorder="1"/>
    <xf numFmtId="168" fontId="107" fillId="16" borderId="183" xfId="0" applyNumberFormat="1" applyFont="1" applyFill="1" applyBorder="1"/>
    <xf numFmtId="168" fontId="107" fillId="16" borderId="184" xfId="0" applyNumberFormat="1" applyFont="1" applyFill="1" applyBorder="1"/>
    <xf numFmtId="168" fontId="103" fillId="0" borderId="193" xfId="0" applyNumberFormat="1" applyFont="1" applyBorder="1"/>
    <xf numFmtId="168" fontId="103" fillId="0" borderId="194" xfId="0" applyNumberFormat="1" applyFont="1" applyBorder="1"/>
    <xf numFmtId="168" fontId="0" fillId="0" borderId="194" xfId="0" applyNumberFormat="1" applyBorder="1"/>
    <xf numFmtId="168" fontId="0" fillId="0" borderId="195" xfId="0" applyNumberFormat="1" applyBorder="1"/>
    <xf numFmtId="168" fontId="0" fillId="0" borderId="0" xfId="0" applyNumberFormat="1"/>
    <xf numFmtId="0" fontId="21" fillId="0" borderId="0" xfId="0" applyFont="1" applyAlignment="1">
      <alignment horizontal="center"/>
    </xf>
    <xf numFmtId="0" fontId="109" fillId="0" borderId="0" xfId="13" applyFont="1"/>
    <xf numFmtId="0" fontId="110" fillId="0" borderId="0" xfId="13" applyFont="1"/>
    <xf numFmtId="0" fontId="111" fillId="0" borderId="0" xfId="13" applyFont="1"/>
    <xf numFmtId="0" fontId="112" fillId="0" borderId="0" xfId="13" applyFont="1"/>
    <xf numFmtId="0" fontId="113" fillId="0" borderId="0" xfId="13" applyFont="1"/>
    <xf numFmtId="0" fontId="114" fillId="0" borderId="98" xfId="13" applyFont="1" applyBorder="1" applyAlignment="1">
      <alignment wrapText="1"/>
    </xf>
    <xf numFmtId="0" fontId="114" fillId="0" borderId="71" xfId="13" applyFont="1" applyBorder="1" applyAlignment="1">
      <alignment wrapText="1"/>
    </xf>
    <xf numFmtId="0" fontId="114" fillId="0" borderId="43" xfId="13" applyFont="1" applyBorder="1" applyAlignment="1">
      <alignment wrapText="1"/>
    </xf>
    <xf numFmtId="0" fontId="114" fillId="0" borderId="203" xfId="13" applyFont="1" applyBorder="1" applyAlignment="1">
      <alignment wrapText="1"/>
    </xf>
    <xf numFmtId="0" fontId="114" fillId="0" borderId="42" xfId="13" applyFont="1" applyBorder="1" applyAlignment="1">
      <alignment wrapText="1"/>
    </xf>
    <xf numFmtId="0" fontId="114" fillId="0" borderId="44" xfId="13" applyFont="1" applyBorder="1" applyAlignment="1">
      <alignment wrapText="1"/>
    </xf>
    <xf numFmtId="0" fontId="114" fillId="0" borderId="204" xfId="13" applyFont="1" applyBorder="1" applyAlignment="1">
      <alignment wrapText="1"/>
    </xf>
    <xf numFmtId="0" fontId="108" fillId="0" borderId="0" xfId="13"/>
    <xf numFmtId="0" fontId="112" fillId="0" borderId="105" xfId="13" applyFont="1" applyBorder="1" applyAlignment="1">
      <alignment wrapText="1"/>
    </xf>
    <xf numFmtId="0" fontId="112" fillId="0" borderId="53" xfId="13" applyFont="1" applyBorder="1" applyAlignment="1">
      <alignment wrapText="1"/>
    </xf>
    <xf numFmtId="0" fontId="112" fillId="0" borderId="37" xfId="13" applyFont="1" applyBorder="1" applyAlignment="1">
      <alignment wrapText="1"/>
    </xf>
    <xf numFmtId="0" fontId="112" fillId="0" borderId="58" xfId="13" applyFont="1" applyBorder="1" applyAlignment="1">
      <alignment wrapText="1"/>
    </xf>
    <xf numFmtId="0" fontId="112" fillId="0" borderId="36" xfId="13" applyFont="1" applyBorder="1" applyAlignment="1">
      <alignment wrapText="1"/>
    </xf>
    <xf numFmtId="0" fontId="112" fillId="0" borderId="38" xfId="13" applyFont="1" applyBorder="1" applyAlignment="1">
      <alignment wrapText="1"/>
    </xf>
    <xf numFmtId="0" fontId="112" fillId="0" borderId="78" xfId="13" applyFont="1" applyBorder="1" applyAlignment="1">
      <alignment wrapText="1"/>
    </xf>
    <xf numFmtId="0" fontId="115" fillId="0" borderId="92" xfId="13" applyFont="1" applyBorder="1" applyAlignment="1">
      <alignment horizontal="left" wrapText="1"/>
    </xf>
    <xf numFmtId="3" fontId="112" fillId="0" borderId="39" xfId="13" applyNumberFormat="1" applyFont="1" applyBorder="1" applyAlignment="1">
      <alignment horizontal="center" vertical="center" wrapText="1"/>
    </xf>
    <xf numFmtId="9" fontId="116" fillId="0" borderId="31" xfId="13" applyNumberFormat="1" applyFont="1" applyBorder="1" applyAlignment="1">
      <alignment wrapText="1"/>
    </xf>
    <xf numFmtId="3" fontId="116" fillId="0" borderId="55" xfId="13" applyNumberFormat="1" applyFont="1" applyBorder="1" applyAlignment="1">
      <alignment wrapText="1"/>
    </xf>
    <xf numFmtId="3" fontId="112" fillId="0" borderId="25" xfId="13" applyNumberFormat="1" applyFont="1" applyBorder="1" applyAlignment="1">
      <alignment horizontal="center" vertical="center" wrapText="1"/>
    </xf>
    <xf numFmtId="3" fontId="116" fillId="0" borderId="26" xfId="13" applyNumberFormat="1" applyFont="1" applyBorder="1" applyAlignment="1">
      <alignment wrapText="1"/>
    </xf>
    <xf numFmtId="3" fontId="112" fillId="27" borderId="39" xfId="13" applyNumberFormat="1" applyFont="1" applyFill="1" applyBorder="1" applyAlignment="1">
      <alignment horizontal="center" vertical="center" wrapText="1"/>
    </xf>
    <xf numFmtId="3" fontId="116" fillId="27" borderId="31" xfId="13" applyNumberFormat="1" applyFont="1" applyFill="1" applyBorder="1" applyAlignment="1">
      <alignment wrapText="1"/>
    </xf>
    <xf numFmtId="3" fontId="116" fillId="0" borderId="79" xfId="13" applyNumberFormat="1" applyFont="1" applyBorder="1" applyAlignment="1">
      <alignment wrapText="1"/>
    </xf>
    <xf numFmtId="0" fontId="117" fillId="0" borderId="93" xfId="13" applyFont="1" applyBorder="1" applyAlignment="1">
      <alignment horizontal="left" wrapText="1"/>
    </xf>
    <xf numFmtId="9" fontId="112" fillId="0" borderId="33" xfId="13" applyNumberFormat="1" applyFont="1" applyBorder="1" applyAlignment="1">
      <alignment wrapText="1"/>
    </xf>
    <xf numFmtId="3" fontId="112" fillId="0" borderId="57" xfId="13" applyNumberFormat="1" applyFont="1" applyBorder="1" applyAlignment="1">
      <alignment wrapText="1"/>
    </xf>
    <xf numFmtId="3" fontId="112" fillId="0" borderId="34" xfId="13" applyNumberFormat="1" applyFont="1" applyBorder="1" applyAlignment="1">
      <alignment wrapText="1"/>
    </xf>
    <xf numFmtId="3" fontId="112" fillId="27" borderId="33" xfId="13" applyNumberFormat="1" applyFont="1" applyFill="1" applyBorder="1" applyAlignment="1">
      <alignment wrapText="1"/>
    </xf>
    <xf numFmtId="3" fontId="112" fillId="0" borderId="77" xfId="13" applyNumberFormat="1" applyFont="1" applyBorder="1" applyAlignment="1">
      <alignment wrapText="1"/>
    </xf>
    <xf numFmtId="182" fontId="112" fillId="27" borderId="33" xfId="13" applyNumberFormat="1" applyFont="1" applyFill="1" applyBorder="1" applyAlignment="1">
      <alignment wrapText="1"/>
    </xf>
    <xf numFmtId="9" fontId="118" fillId="3" borderId="33" xfId="13" applyNumberFormat="1" applyFont="1" applyFill="1" applyBorder="1" applyAlignment="1">
      <alignment wrapText="1"/>
    </xf>
    <xf numFmtId="3" fontId="118" fillId="0" borderId="34" xfId="13" applyNumberFormat="1" applyFont="1" applyBorder="1" applyAlignment="1">
      <alignment wrapText="1"/>
    </xf>
    <xf numFmtId="9" fontId="112" fillId="27" borderId="33" xfId="13" applyNumberFormat="1" applyFont="1" applyFill="1" applyBorder="1" applyAlignment="1">
      <alignment wrapText="1"/>
    </xf>
    <xf numFmtId="9" fontId="118" fillId="27" borderId="33" xfId="13" applyNumberFormat="1" applyFont="1" applyFill="1" applyBorder="1" applyAlignment="1">
      <alignment wrapText="1"/>
    </xf>
    <xf numFmtId="0" fontId="117" fillId="0" borderId="97" xfId="13" applyFont="1" applyBorder="1" applyAlignment="1">
      <alignment horizontal="left" wrapText="1"/>
    </xf>
    <xf numFmtId="3" fontId="112" fillId="0" borderId="41" xfId="13" applyNumberFormat="1" applyFont="1" applyBorder="1" applyAlignment="1">
      <alignment horizontal="center" vertical="center" wrapText="1"/>
    </xf>
    <xf numFmtId="9" fontId="112" fillId="27" borderId="35" xfId="13" applyNumberFormat="1" applyFont="1" applyFill="1" applyBorder="1" applyAlignment="1">
      <alignment wrapText="1"/>
    </xf>
    <xf numFmtId="3" fontId="112" fillId="0" borderId="59" xfId="13" applyNumberFormat="1" applyFont="1" applyBorder="1" applyAlignment="1">
      <alignment wrapText="1"/>
    </xf>
    <xf numFmtId="3" fontId="112" fillId="0" borderId="27" xfId="13" applyNumberFormat="1" applyFont="1" applyBorder="1" applyAlignment="1">
      <alignment horizontal="center" vertical="center" wrapText="1"/>
    </xf>
    <xf numFmtId="9" fontId="118" fillId="27" borderId="35" xfId="13" applyNumberFormat="1" applyFont="1" applyFill="1" applyBorder="1" applyAlignment="1">
      <alignment wrapText="1"/>
    </xf>
    <xf numFmtId="3" fontId="118" fillId="0" borderId="28" xfId="13" applyNumberFormat="1" applyFont="1" applyBorder="1" applyAlignment="1">
      <alignment wrapText="1"/>
    </xf>
    <xf numFmtId="3" fontId="112" fillId="27" borderId="41" xfId="13" applyNumberFormat="1" applyFont="1" applyFill="1" applyBorder="1" applyAlignment="1">
      <alignment horizontal="center" vertical="center" wrapText="1"/>
    </xf>
    <xf numFmtId="182" fontId="112" fillId="27" borderId="35" xfId="13" applyNumberFormat="1" applyFont="1" applyFill="1" applyBorder="1" applyAlignment="1">
      <alignment wrapText="1"/>
    </xf>
    <xf numFmtId="3" fontId="112" fillId="0" borderId="99" xfId="13" applyNumberFormat="1" applyFont="1" applyBorder="1" applyAlignment="1">
      <alignment wrapText="1"/>
    </xf>
    <xf numFmtId="0" fontId="117" fillId="0" borderId="92" xfId="13" applyFont="1" applyBorder="1" applyAlignment="1">
      <alignment horizontal="left"/>
    </xf>
    <xf numFmtId="9" fontId="112" fillId="27" borderId="31" xfId="13" applyNumberFormat="1" applyFont="1" applyFill="1" applyBorder="1" applyAlignment="1">
      <alignment wrapText="1"/>
    </xf>
    <xf numFmtId="3" fontId="112" fillId="0" borderId="55" xfId="13" applyNumberFormat="1" applyFont="1" applyBorder="1" applyAlignment="1">
      <alignment wrapText="1"/>
    </xf>
    <xf numFmtId="9" fontId="118" fillId="27" borderId="31" xfId="13" applyNumberFormat="1" applyFont="1" applyFill="1" applyBorder="1" applyAlignment="1">
      <alignment wrapText="1"/>
    </xf>
    <xf numFmtId="3" fontId="118" fillId="0" borderId="26" xfId="13" applyNumberFormat="1" applyFont="1" applyBorder="1" applyAlignment="1">
      <alignment wrapText="1"/>
    </xf>
    <xf numFmtId="3" fontId="112" fillId="27" borderId="31" xfId="13" applyNumberFormat="1" applyFont="1" applyFill="1" applyBorder="1" applyAlignment="1">
      <alignment wrapText="1"/>
    </xf>
    <xf numFmtId="3" fontId="112" fillId="0" borderId="79" xfId="13" applyNumberFormat="1" applyFont="1" applyBorder="1" applyAlignment="1">
      <alignment wrapText="1"/>
    </xf>
    <xf numFmtId="0" fontId="117" fillId="0" borderId="97" xfId="13" applyFont="1" applyBorder="1" applyAlignment="1">
      <alignment horizontal="left"/>
    </xf>
    <xf numFmtId="3" fontId="112" fillId="27" borderId="35" xfId="13" applyNumberFormat="1" applyFont="1" applyFill="1" applyBorder="1" applyAlignment="1">
      <alignment wrapText="1"/>
    </xf>
    <xf numFmtId="0" fontId="117" fillId="0" borderId="92" xfId="13" applyFont="1" applyBorder="1" applyAlignment="1">
      <alignment horizontal="left" wrapText="1"/>
    </xf>
    <xf numFmtId="9" fontId="112" fillId="27" borderId="31" xfId="13" applyNumberFormat="1" applyFont="1" applyFill="1" applyBorder="1"/>
    <xf numFmtId="3" fontId="112" fillId="27" borderId="55" xfId="13" applyNumberFormat="1" applyFont="1" applyFill="1" applyBorder="1" applyAlignment="1">
      <alignment wrapText="1"/>
    </xf>
    <xf numFmtId="3" fontId="112" fillId="27" borderId="25" xfId="13" applyNumberFormat="1" applyFont="1" applyFill="1" applyBorder="1" applyAlignment="1">
      <alignment horizontal="center" vertical="center" wrapText="1"/>
    </xf>
    <xf numFmtId="3" fontId="112" fillId="27" borderId="26" xfId="13" applyNumberFormat="1" applyFont="1" applyFill="1" applyBorder="1" applyAlignment="1">
      <alignment wrapText="1"/>
    </xf>
    <xf numFmtId="3" fontId="112" fillId="27" borderId="79" xfId="13" applyNumberFormat="1" applyFont="1" applyFill="1" applyBorder="1" applyAlignment="1">
      <alignment wrapText="1"/>
    </xf>
    <xf numFmtId="0" fontId="117" fillId="0" borderId="94" xfId="13" applyFont="1" applyBorder="1" applyAlignment="1">
      <alignment horizontal="left" wrapText="1"/>
    </xf>
    <xf numFmtId="3" fontId="112" fillId="27" borderId="86" xfId="13" applyNumberFormat="1" applyFont="1" applyFill="1" applyBorder="1" applyAlignment="1">
      <alignment horizontal="center" vertical="center" wrapText="1"/>
    </xf>
    <xf numFmtId="9" fontId="112" fillId="27" borderId="45" xfId="13" applyNumberFormat="1" applyFont="1" applyFill="1" applyBorder="1"/>
    <xf numFmtId="3" fontId="112" fillId="27" borderId="179" xfId="13" applyNumberFormat="1" applyFont="1" applyFill="1" applyBorder="1" applyAlignment="1">
      <alignment wrapText="1"/>
    </xf>
    <xf numFmtId="3" fontId="112" fillId="27" borderId="48" xfId="13" applyNumberFormat="1" applyFont="1" applyFill="1" applyBorder="1" applyAlignment="1">
      <alignment horizontal="center" vertical="center" wrapText="1"/>
    </xf>
    <xf numFmtId="3" fontId="112" fillId="27" borderId="87" xfId="13" applyNumberFormat="1" applyFont="1" applyFill="1" applyBorder="1" applyAlignment="1">
      <alignment wrapText="1"/>
    </xf>
    <xf numFmtId="9" fontId="112" fillId="27" borderId="45" xfId="13" applyNumberFormat="1" applyFont="1" applyFill="1" applyBorder="1" applyAlignment="1">
      <alignment wrapText="1"/>
    </xf>
    <xf numFmtId="3" fontId="112" fillId="27" borderId="80" xfId="13" applyNumberFormat="1" applyFont="1" applyFill="1" applyBorder="1" applyAlignment="1">
      <alignment wrapText="1"/>
    </xf>
    <xf numFmtId="0" fontId="117" fillId="0" borderId="0" xfId="13" applyFont="1" applyAlignment="1">
      <alignment horizontal="left" wrapText="1"/>
    </xf>
    <xf numFmtId="3" fontId="112" fillId="0" borderId="0" xfId="13" applyNumberFormat="1" applyFont="1" applyAlignment="1">
      <alignment wrapText="1"/>
    </xf>
    <xf numFmtId="181" fontId="112" fillId="0" borderId="0" xfId="13" applyNumberFormat="1" applyFont="1" applyAlignment="1">
      <alignment wrapText="1"/>
    </xf>
    <xf numFmtId="1" fontId="112" fillId="0" borderId="0" xfId="13" applyNumberFormat="1" applyFont="1" applyAlignment="1">
      <alignment wrapText="1"/>
    </xf>
    <xf numFmtId="0" fontId="114" fillId="0" borderId="0" xfId="13" applyFont="1"/>
    <xf numFmtId="0" fontId="112" fillId="0" borderId="97" xfId="13" applyFont="1" applyBorder="1"/>
    <xf numFmtId="0" fontId="112" fillId="0" borderId="65" xfId="13" applyFont="1" applyBorder="1"/>
    <xf numFmtId="0" fontId="112" fillId="0" borderId="41" xfId="13" applyFont="1" applyBorder="1"/>
    <xf numFmtId="0" fontId="112" fillId="0" borderId="28" xfId="13" applyFont="1" applyBorder="1"/>
    <xf numFmtId="0" fontId="112" fillId="0" borderId="111" xfId="13" applyFont="1" applyBorder="1"/>
    <xf numFmtId="0" fontId="112" fillId="0" borderId="99" xfId="13" applyFont="1" applyBorder="1"/>
    <xf numFmtId="0" fontId="119" fillId="0" borderId="92" xfId="13" applyFont="1" applyBorder="1" applyAlignment="1">
      <alignment horizontal="left"/>
    </xf>
    <xf numFmtId="181" fontId="119" fillId="0" borderId="25" xfId="13" applyNumberFormat="1" applyFont="1" applyBorder="1"/>
    <xf numFmtId="181" fontId="119" fillId="0" borderId="34" xfId="13" applyNumberFormat="1" applyFont="1" applyBorder="1"/>
    <xf numFmtId="181" fontId="119" fillId="0" borderId="26" xfId="13" applyNumberFormat="1" applyFont="1" applyBorder="1"/>
    <xf numFmtId="181" fontId="119" fillId="0" borderId="79" xfId="13" applyNumberFormat="1" applyFont="1" applyBorder="1"/>
    <xf numFmtId="0" fontId="117" fillId="0" borderId="93" xfId="13" applyFont="1" applyBorder="1" applyAlignment="1">
      <alignment horizontal="left"/>
    </xf>
    <xf numFmtId="181" fontId="112" fillId="0" borderId="32" xfId="13" applyNumberFormat="1" applyFont="1" applyBorder="1"/>
    <xf numFmtId="181" fontId="120" fillId="0" borderId="34" xfId="13" applyNumberFormat="1" applyFont="1" applyBorder="1"/>
    <xf numFmtId="181" fontId="112" fillId="0" borderId="34" xfId="13" applyNumberFormat="1" applyFont="1" applyBorder="1"/>
    <xf numFmtId="181" fontId="112" fillId="0" borderId="77" xfId="13" applyNumberFormat="1" applyFont="1" applyBorder="1"/>
    <xf numFmtId="0" fontId="117" fillId="0" borderId="105" xfId="13" applyFont="1" applyBorder="1" applyAlignment="1">
      <alignment horizontal="left"/>
    </xf>
    <xf numFmtId="181" fontId="112" fillId="0" borderId="36" xfId="13" applyNumberFormat="1" applyFont="1" applyBorder="1"/>
    <xf numFmtId="181" fontId="120" fillId="0" borderId="38" xfId="13" applyNumberFormat="1" applyFont="1" applyBorder="1"/>
    <xf numFmtId="181" fontId="112" fillId="0" borderId="38" xfId="13" applyNumberFormat="1" applyFont="1" applyBorder="1"/>
    <xf numFmtId="181" fontId="112" fillId="0" borderId="78" xfId="13" applyNumberFormat="1" applyFont="1" applyBorder="1"/>
    <xf numFmtId="181" fontId="120" fillId="0" borderId="26" xfId="13" applyNumberFormat="1" applyFont="1" applyBorder="1"/>
    <xf numFmtId="181" fontId="112" fillId="0" borderId="26" xfId="13" applyNumberFormat="1" applyFont="1" applyBorder="1"/>
    <xf numFmtId="1" fontId="112" fillId="0" borderId="31" xfId="13" applyNumberFormat="1" applyFont="1" applyBorder="1"/>
    <xf numFmtId="181" fontId="112" fillId="0" borderId="79" xfId="13" applyNumberFormat="1" applyFont="1" applyBorder="1"/>
    <xf numFmtId="0" fontId="118" fillId="0" borderId="0" xfId="13" applyFont="1"/>
    <xf numFmtId="0" fontId="121" fillId="0" borderId="93" xfId="13" applyFont="1" applyBorder="1" applyAlignment="1">
      <alignment horizontal="left"/>
    </xf>
    <xf numFmtId="181" fontId="118" fillId="0" borderId="34" xfId="13" applyNumberFormat="1" applyFont="1" applyBorder="1"/>
    <xf numFmtId="181" fontId="118" fillId="0" borderId="77" xfId="13" applyNumberFormat="1" applyFont="1" applyBorder="1"/>
    <xf numFmtId="181" fontId="120" fillId="0" borderId="28" xfId="13" applyNumberFormat="1" applyFont="1" applyBorder="1"/>
    <xf numFmtId="181" fontId="112" fillId="0" borderId="28" xfId="13" applyNumberFormat="1" applyFont="1" applyBorder="1"/>
    <xf numFmtId="181" fontId="112" fillId="0" borderId="99" xfId="13" applyNumberFormat="1" applyFont="1" applyBorder="1"/>
    <xf numFmtId="181" fontId="112" fillId="0" borderId="27" xfId="13" applyNumberFormat="1" applyFont="1" applyBorder="1"/>
    <xf numFmtId="0" fontId="117" fillId="0" borderId="84" xfId="13" applyFont="1" applyBorder="1" applyAlignment="1">
      <alignment horizontal="left"/>
    </xf>
    <xf numFmtId="181" fontId="112" fillId="0" borderId="25" xfId="13" applyNumberFormat="1" applyFont="1" applyBorder="1"/>
    <xf numFmtId="0" fontId="112" fillId="0" borderId="25" xfId="13" applyFont="1" applyBorder="1"/>
    <xf numFmtId="0" fontId="117" fillId="0" borderId="206" xfId="13" applyFont="1" applyBorder="1" applyAlignment="1">
      <alignment horizontal="left"/>
    </xf>
    <xf numFmtId="0" fontId="112" fillId="0" borderId="27" xfId="13" applyFont="1" applyBorder="1"/>
    <xf numFmtId="0" fontId="117" fillId="0" borderId="83" xfId="13" applyFont="1" applyBorder="1" applyAlignment="1">
      <alignment horizontal="left"/>
    </xf>
    <xf numFmtId="181" fontId="112" fillId="0" borderId="62" xfId="13" applyNumberFormat="1" applyFont="1" applyBorder="1"/>
    <xf numFmtId="1" fontId="120" fillId="0" borderId="142" xfId="13" applyNumberFormat="1" applyFont="1" applyBorder="1"/>
    <xf numFmtId="181" fontId="112" fillId="0" borderId="67" xfId="13" applyNumberFormat="1" applyFont="1" applyBorder="1"/>
    <xf numFmtId="0" fontId="112" fillId="0" borderId="62" xfId="13" applyFont="1" applyBorder="1"/>
    <xf numFmtId="181" fontId="112" fillId="0" borderId="88" xfId="13" applyNumberFormat="1" applyFont="1" applyBorder="1"/>
    <xf numFmtId="0" fontId="117" fillId="0" borderId="107" xfId="13" applyFont="1" applyBorder="1" applyAlignment="1">
      <alignment horizontal="left"/>
    </xf>
    <xf numFmtId="168" fontId="112" fillId="0" borderId="24" xfId="13" applyNumberFormat="1" applyFont="1" applyBorder="1"/>
    <xf numFmtId="181" fontId="112" fillId="0" borderId="113" xfId="13" applyNumberFormat="1" applyFont="1" applyBorder="1"/>
    <xf numFmtId="1" fontId="112" fillId="0" borderId="108" xfId="13" applyNumberFormat="1" applyFont="1" applyBorder="1"/>
    <xf numFmtId="181" fontId="112" fillId="0" borderId="109" xfId="13" applyNumberFormat="1" applyFont="1" applyBorder="1"/>
    <xf numFmtId="0" fontId="112" fillId="0" borderId="108" xfId="13" applyFont="1" applyBorder="1"/>
    <xf numFmtId="1" fontId="112" fillId="0" borderId="113" xfId="13" applyNumberFormat="1" applyFont="1" applyBorder="1"/>
    <xf numFmtId="181" fontId="112" fillId="0" borderId="110" xfId="13" applyNumberFormat="1" applyFont="1" applyBorder="1"/>
    <xf numFmtId="0" fontId="124" fillId="0" borderId="0" xfId="13" applyFont="1"/>
    <xf numFmtId="0" fontId="2" fillId="0" borderId="0" xfId="14"/>
    <xf numFmtId="0" fontId="82" fillId="0" borderId="98" xfId="13" applyFont="1" applyBorder="1"/>
    <xf numFmtId="0" fontId="82" fillId="0" borderId="100" xfId="13" applyFont="1" applyBorder="1"/>
    <xf numFmtId="0" fontId="82" fillId="0" borderId="97" xfId="13" applyFont="1" applyBorder="1"/>
    <xf numFmtId="0" fontId="82" fillId="0" borderId="65" xfId="13" applyFont="1" applyBorder="1"/>
    <xf numFmtId="0" fontId="82" fillId="0" borderId="41" xfId="13" applyFont="1" applyBorder="1"/>
    <xf numFmtId="0" fontId="82" fillId="0" borderId="28" xfId="13" applyFont="1" applyBorder="1"/>
    <xf numFmtId="0" fontId="82" fillId="0" borderId="111" xfId="13" applyFont="1" applyBorder="1"/>
    <xf numFmtId="0" fontId="82" fillId="0" borderId="99" xfId="13" applyFont="1" applyBorder="1"/>
    <xf numFmtId="181" fontId="82" fillId="0" borderId="32" xfId="13" applyNumberFormat="1" applyFont="1" applyBorder="1"/>
    <xf numFmtId="181" fontId="82" fillId="0" borderId="77" xfId="13" applyNumberFormat="1" applyFont="1" applyBorder="1"/>
    <xf numFmtId="181" fontId="82" fillId="0" borderId="36" xfId="13" applyNumberFormat="1" applyFont="1" applyBorder="1"/>
    <xf numFmtId="181" fontId="82" fillId="0" borderId="78" xfId="13" applyNumberFormat="1" applyFont="1" applyBorder="1"/>
    <xf numFmtId="1" fontId="82" fillId="33" borderId="31" xfId="13" applyNumberFormat="1" applyFont="1" applyFill="1" applyBorder="1"/>
    <xf numFmtId="181" fontId="82" fillId="0" borderId="26" xfId="13" applyNumberFormat="1" applyFont="1" applyBorder="1"/>
    <xf numFmtId="1" fontId="82" fillId="0" borderId="31" xfId="13" applyNumberFormat="1" applyFont="1" applyBorder="1"/>
    <xf numFmtId="181" fontId="82" fillId="0" borderId="79" xfId="13" applyNumberFormat="1" applyFont="1" applyBorder="1"/>
    <xf numFmtId="181" fontId="82" fillId="0" borderId="28" xfId="13" applyNumberFormat="1" applyFont="1" applyBorder="1"/>
    <xf numFmtId="181" fontId="82" fillId="0" borderId="99" xfId="13" applyNumberFormat="1" applyFont="1" applyBorder="1"/>
    <xf numFmtId="181" fontId="82" fillId="0" borderId="27" xfId="13" applyNumberFormat="1" applyFont="1" applyBorder="1"/>
    <xf numFmtId="181" fontId="82" fillId="0" borderId="113" xfId="13" applyNumberFormat="1" applyFont="1" applyBorder="1"/>
    <xf numFmtId="1" fontId="82" fillId="0" borderId="108" xfId="13" applyNumberFormat="1" applyFont="1" applyBorder="1"/>
    <xf numFmtId="181" fontId="82" fillId="0" borderId="109" xfId="13" applyNumberFormat="1" applyFont="1" applyBorder="1"/>
    <xf numFmtId="0" fontId="82" fillId="0" borderId="108" xfId="13" applyFont="1" applyBorder="1"/>
    <xf numFmtId="1" fontId="82" fillId="0" borderId="113" xfId="13" applyNumberFormat="1" applyFont="1" applyBorder="1"/>
    <xf numFmtId="181" fontId="82" fillId="0" borderId="110" xfId="13" applyNumberFormat="1" applyFont="1" applyBorder="1"/>
    <xf numFmtId="181" fontId="82" fillId="0" borderId="0" xfId="13" applyNumberFormat="1" applyFont="1"/>
    <xf numFmtId="1" fontId="82" fillId="0" borderId="0" xfId="13" applyNumberFormat="1" applyFont="1"/>
    <xf numFmtId="0" fontId="82" fillId="0" borderId="0" xfId="13" applyFont="1"/>
    <xf numFmtId="181" fontId="82" fillId="0" borderId="39" xfId="13" applyNumberFormat="1" applyFont="1" applyBorder="1"/>
    <xf numFmtId="0" fontId="82" fillId="0" borderId="39" xfId="13" applyFont="1" applyBorder="1"/>
    <xf numFmtId="181" fontId="82" fillId="0" borderId="25" xfId="13" applyNumberFormat="1" applyFont="1" applyBorder="1"/>
    <xf numFmtId="1" fontId="82" fillId="0" borderId="33" xfId="13" applyNumberFormat="1" applyFont="1" applyBorder="1"/>
    <xf numFmtId="181" fontId="82" fillId="0" borderId="34" xfId="13" applyNumberFormat="1" applyFont="1" applyBorder="1"/>
    <xf numFmtId="1" fontId="82" fillId="0" borderId="37" xfId="13" applyNumberFormat="1" applyFont="1" applyBorder="1"/>
    <xf numFmtId="181" fontId="82" fillId="0" borderId="38" xfId="13" applyNumberFormat="1" applyFont="1" applyBorder="1"/>
    <xf numFmtId="1" fontId="82" fillId="0" borderId="35" xfId="13" applyNumberFormat="1" applyFont="1" applyBorder="1"/>
    <xf numFmtId="0" fontId="82" fillId="0" borderId="202" xfId="13" applyFont="1" applyBorder="1"/>
    <xf numFmtId="0" fontId="82" fillId="0" borderId="25" xfId="13" applyFont="1" applyBorder="1" applyAlignment="1">
      <alignment horizontal="center"/>
    </xf>
    <xf numFmtId="181" fontId="82" fillId="0" borderId="87" xfId="13" applyNumberFormat="1" applyFont="1" applyBorder="1"/>
    <xf numFmtId="181" fontId="82" fillId="0" borderId="80" xfId="13" applyNumberFormat="1" applyFont="1" applyBorder="1"/>
    <xf numFmtId="168" fontId="82" fillId="0" borderId="64" xfId="13" applyNumberFormat="1" applyFont="1" applyBorder="1"/>
    <xf numFmtId="168" fontId="82" fillId="0" borderId="106" xfId="13" applyNumberFormat="1" applyFont="1" applyBorder="1"/>
    <xf numFmtId="168" fontId="82" fillId="0" borderId="63" xfId="13" applyNumberFormat="1" applyFont="1" applyBorder="1"/>
    <xf numFmtId="168" fontId="82" fillId="0" borderId="65" xfId="13" applyNumberFormat="1" applyFont="1" applyBorder="1"/>
    <xf numFmtId="168" fontId="82" fillId="0" borderId="24" xfId="13" applyNumberFormat="1" applyFont="1" applyBorder="1"/>
    <xf numFmtId="168" fontId="82" fillId="0" borderId="0" xfId="13" applyNumberFormat="1" applyFont="1"/>
    <xf numFmtId="0" fontId="82" fillId="0" borderId="26" xfId="13" applyFont="1" applyBorder="1"/>
    <xf numFmtId="168" fontId="82" fillId="0" borderId="87" xfId="13" applyNumberFormat="1" applyFont="1" applyBorder="1"/>
    <xf numFmtId="168" fontId="82" fillId="0" borderId="26" xfId="13" applyNumberFormat="1" applyFont="1" applyBorder="1"/>
    <xf numFmtId="1" fontId="82" fillId="3" borderId="35" xfId="13" applyNumberFormat="1" applyFont="1" applyFill="1" applyBorder="1"/>
    <xf numFmtId="168" fontId="18" fillId="3" borderId="185" xfId="0" applyNumberFormat="1" applyFont="1" applyFill="1" applyBorder="1"/>
    <xf numFmtId="0" fontId="98" fillId="26" borderId="146" xfId="0" applyFont="1" applyFill="1" applyBorder="1"/>
    <xf numFmtId="0" fontId="98" fillId="26" borderId="43" xfId="0" applyFont="1" applyFill="1" applyBorder="1"/>
    <xf numFmtId="0" fontId="98" fillId="26" borderId="204" xfId="0" applyFont="1" applyFill="1" applyBorder="1"/>
    <xf numFmtId="0" fontId="99" fillId="0" borderId="147" xfId="0" applyFont="1" applyBorder="1" applyAlignment="1">
      <alignment vertical="center"/>
    </xf>
    <xf numFmtId="0" fontId="99" fillId="0" borderId="33" xfId="0" applyFont="1" applyBorder="1" applyAlignment="1">
      <alignment vertical="center"/>
    </xf>
    <xf numFmtId="3" fontId="106" fillId="0" borderId="33" xfId="0" applyNumberFormat="1" applyFont="1" applyBorder="1" applyAlignment="1">
      <alignment vertical="center"/>
    </xf>
    <xf numFmtId="3" fontId="99" fillId="0" borderId="33" xfId="0" applyNumberFormat="1" applyFont="1" applyBorder="1" applyAlignment="1">
      <alignment vertical="center"/>
    </xf>
    <xf numFmtId="0" fontId="99" fillId="0" borderId="148" xfId="0" applyFont="1" applyBorder="1" applyAlignment="1">
      <alignment vertical="center"/>
    </xf>
    <xf numFmtId="3" fontId="99" fillId="0" borderId="45" xfId="0" applyNumberFormat="1" applyFont="1" applyBorder="1" applyAlignment="1">
      <alignment vertical="center"/>
    </xf>
    <xf numFmtId="0" fontId="98" fillId="26" borderId="71" xfId="0" applyFont="1" applyFill="1" applyBorder="1"/>
    <xf numFmtId="168" fontId="99" fillId="0" borderId="40" xfId="0" applyNumberFormat="1" applyFont="1" applyBorder="1" applyAlignment="1">
      <alignment vertical="center"/>
    </xf>
    <xf numFmtId="168" fontId="99" fillId="3" borderId="40" xfId="0" applyNumberFormat="1" applyFont="1" applyFill="1" applyBorder="1" applyAlignment="1">
      <alignment vertical="center"/>
    </xf>
    <xf numFmtId="0" fontId="98" fillId="26" borderId="44" xfId="0" applyFont="1" applyFill="1" applyBorder="1"/>
    <xf numFmtId="0" fontId="99" fillId="0" borderId="34" xfId="0" applyFont="1" applyBorder="1" applyAlignment="1">
      <alignment vertical="center"/>
    </xf>
    <xf numFmtId="0" fontId="99" fillId="0" borderId="87" xfId="0" applyFont="1" applyBorder="1" applyAlignment="1">
      <alignment vertical="center"/>
    </xf>
    <xf numFmtId="168" fontId="99" fillId="27" borderId="40" xfId="0" applyNumberFormat="1" applyFont="1" applyFill="1" applyBorder="1" applyAlignment="1">
      <alignment vertical="center"/>
    </xf>
    <xf numFmtId="168" fontId="99" fillId="27" borderId="86" xfId="0" applyNumberFormat="1" applyFont="1" applyFill="1" applyBorder="1" applyAlignment="1">
      <alignment vertical="center"/>
    </xf>
    <xf numFmtId="181" fontId="99" fillId="0" borderId="34" xfId="0" applyNumberFormat="1" applyFont="1" applyBorder="1" applyAlignment="1">
      <alignment vertical="center"/>
    </xf>
    <xf numFmtId="181" fontId="99" fillId="0" borderId="87" xfId="0" applyNumberFormat="1" applyFont="1" applyBorder="1" applyAlignment="1">
      <alignment vertical="center"/>
    </xf>
    <xf numFmtId="181" fontId="99" fillId="0" borderId="40" xfId="0" applyNumberFormat="1" applyFont="1" applyBorder="1" applyAlignment="1">
      <alignment vertical="center"/>
    </xf>
    <xf numFmtId="181" fontId="99" fillId="0" borderId="86" xfId="0" applyNumberFormat="1" applyFont="1" applyBorder="1" applyAlignment="1">
      <alignment vertical="center"/>
    </xf>
    <xf numFmtId="0" fontId="99" fillId="0" borderId="159" xfId="0" applyFont="1" applyBorder="1" applyAlignment="1">
      <alignment vertical="center" wrapText="1"/>
    </xf>
    <xf numFmtId="0" fontId="99" fillId="0" borderId="218" xfId="0" applyFont="1" applyBorder="1" applyAlignment="1">
      <alignment vertical="center" wrapText="1"/>
    </xf>
    <xf numFmtId="0" fontId="99" fillId="3" borderId="33" xfId="0" applyFont="1" applyFill="1" applyBorder="1" applyAlignment="1">
      <alignment vertical="center"/>
    </xf>
    <xf numFmtId="0" fontId="99" fillId="3" borderId="34" xfId="0" applyFont="1" applyFill="1" applyBorder="1" applyAlignment="1">
      <alignment vertical="center"/>
    </xf>
    <xf numFmtId="181" fontId="99" fillId="3" borderId="34" xfId="0" applyNumberFormat="1" applyFont="1" applyFill="1" applyBorder="1" applyAlignment="1">
      <alignment vertical="center"/>
    </xf>
    <xf numFmtId="168" fontId="99" fillId="25" borderId="40" xfId="0" applyNumberFormat="1" applyFont="1" applyFill="1" applyBorder="1" applyAlignment="1">
      <alignment vertical="center"/>
    </xf>
    <xf numFmtId="181" fontId="99" fillId="25" borderId="34" xfId="0" applyNumberFormat="1" applyFont="1" applyFill="1" applyBorder="1" applyAlignment="1">
      <alignment vertical="center"/>
    </xf>
    <xf numFmtId="168" fontId="99" fillId="25" borderId="86" xfId="0" applyNumberFormat="1" applyFont="1" applyFill="1" applyBorder="1" applyAlignment="1">
      <alignment vertical="center"/>
    </xf>
    <xf numFmtId="181" fontId="99" fillId="25" borderId="87" xfId="0" applyNumberFormat="1" applyFont="1" applyFill="1" applyBorder="1" applyAlignment="1">
      <alignment vertical="center"/>
    </xf>
    <xf numFmtId="181" fontId="82" fillId="0" borderId="86" xfId="13" applyNumberFormat="1" applyFont="1" applyBorder="1"/>
    <xf numFmtId="1" fontId="82" fillId="33" borderId="45" xfId="13" applyNumberFormat="1" applyFont="1" applyFill="1" applyBorder="1"/>
    <xf numFmtId="0" fontId="82" fillId="0" borderId="86" xfId="13" applyFont="1" applyBorder="1"/>
    <xf numFmtId="1" fontId="82" fillId="3" borderId="33" xfId="13" applyNumberFormat="1" applyFont="1" applyFill="1" applyBorder="1"/>
    <xf numFmtId="0" fontId="82" fillId="0" borderId="221" xfId="13" applyFont="1" applyBorder="1"/>
    <xf numFmtId="0" fontId="82" fillId="0" borderId="30" xfId="13" applyFont="1" applyBorder="1"/>
    <xf numFmtId="0" fontId="82" fillId="0" borderId="29" xfId="13" applyFont="1" applyBorder="1" applyAlignment="1">
      <alignment horizontal="center"/>
    </xf>
    <xf numFmtId="0" fontId="82" fillId="0" borderId="121" xfId="13" applyFont="1" applyBorder="1" applyAlignment="1">
      <alignment horizontal="center"/>
    </xf>
    <xf numFmtId="181" fontId="82" fillId="0" borderId="30" xfId="13" applyNumberFormat="1" applyFont="1" applyBorder="1"/>
    <xf numFmtId="181" fontId="82" fillId="0" borderId="222" xfId="13" applyNumberFormat="1" applyFont="1" applyBorder="1"/>
    <xf numFmtId="0" fontId="129" fillId="0" borderId="0" xfId="0" applyFont="1"/>
    <xf numFmtId="0" fontId="130" fillId="0" borderId="0" xfId="0" applyFont="1"/>
    <xf numFmtId="0" fontId="131" fillId="0" borderId="0" xfId="0" applyFont="1"/>
    <xf numFmtId="0" fontId="48" fillId="0" borderId="0" xfId="0" applyFont="1"/>
    <xf numFmtId="0" fontId="87" fillId="0" borderId="25" xfId="0" applyFont="1" applyBorder="1"/>
    <xf numFmtId="10" fontId="87" fillId="0" borderId="26" xfId="0" applyNumberFormat="1" applyFont="1" applyBorder="1"/>
    <xf numFmtId="0" fontId="87" fillId="0" borderId="29" xfId="0" applyFont="1" applyBorder="1"/>
    <xf numFmtId="10" fontId="87" fillId="0" borderId="30" xfId="0" applyNumberFormat="1" applyFont="1" applyBorder="1"/>
    <xf numFmtId="0" fontId="87" fillId="0" borderId="62" xfId="0" applyFont="1" applyBorder="1"/>
    <xf numFmtId="3" fontId="87" fillId="0" borderId="61" xfId="0" applyNumberFormat="1" applyFont="1" applyBorder="1"/>
    <xf numFmtId="1" fontId="87" fillId="0" borderId="0" xfId="0" applyNumberFormat="1" applyFont="1"/>
    <xf numFmtId="0" fontId="82" fillId="0" borderId="0" xfId="0" applyFont="1"/>
    <xf numFmtId="0" fontId="49" fillId="0" borderId="25" xfId="0" applyFont="1" applyBorder="1" applyAlignment="1">
      <alignment horizontal="left" vertical="center" wrapText="1"/>
    </xf>
    <xf numFmtId="0" fontId="49" fillId="0" borderId="31" xfId="0" applyFont="1" applyBorder="1" applyAlignment="1">
      <alignment horizontal="left" vertical="center" wrapText="1"/>
    </xf>
    <xf numFmtId="0" fontId="49" fillId="0" borderId="31" xfId="0" applyFont="1" applyBorder="1" applyAlignment="1">
      <alignment horizontal="center" wrapText="1"/>
    </xf>
    <xf numFmtId="0" fontId="49" fillId="0" borderId="31" xfId="0" applyFont="1" applyBorder="1" applyAlignment="1">
      <alignment horizontal="center" vertical="center" wrapText="1"/>
    </xf>
    <xf numFmtId="0" fontId="49" fillId="0" borderId="26" xfId="0" applyFont="1" applyBorder="1" applyAlignment="1">
      <alignment horizontal="center" vertical="center" wrapText="1"/>
    </xf>
    <xf numFmtId="0" fontId="49" fillId="0" borderId="0" xfId="0" applyFont="1" applyAlignment="1">
      <alignment wrapText="1"/>
    </xf>
    <xf numFmtId="0" fontId="87" fillId="0" borderId="32" xfId="0" applyFont="1" applyBorder="1" applyAlignment="1">
      <alignment vertical="center" wrapText="1"/>
    </xf>
    <xf numFmtId="0" fontId="87" fillId="0" borderId="33" xfId="0" applyFont="1" applyBorder="1" applyAlignment="1">
      <alignment vertical="center" wrapText="1"/>
    </xf>
    <xf numFmtId="172" fontId="87" fillId="0" borderId="33" xfId="0" applyNumberFormat="1" applyFont="1" applyBorder="1" applyAlignment="1">
      <alignment horizontal="center" vertical="center"/>
    </xf>
    <xf numFmtId="173" fontId="87" fillId="0" borderId="33" xfId="0" applyNumberFormat="1" applyFont="1" applyBorder="1" applyAlignment="1">
      <alignment vertical="center" wrapText="1"/>
    </xf>
    <xf numFmtId="10" fontId="87" fillId="0" borderId="34" xfId="0" applyNumberFormat="1" applyFont="1" applyBorder="1"/>
    <xf numFmtId="172" fontId="87" fillId="0" borderId="0" xfId="0" applyNumberFormat="1" applyFont="1"/>
    <xf numFmtId="0" fontId="87" fillId="0" borderId="36" xfId="0" applyFont="1" applyBorder="1" applyAlignment="1">
      <alignment vertical="center" wrapText="1"/>
    </xf>
    <xf numFmtId="0" fontId="87" fillId="0" borderId="37" xfId="0" applyFont="1" applyBorder="1" applyAlignment="1">
      <alignment vertical="center" wrapText="1"/>
    </xf>
    <xf numFmtId="172" fontId="87" fillId="0" borderId="37" xfId="0" applyNumberFormat="1" applyFont="1" applyBorder="1" applyAlignment="1">
      <alignment horizontal="center" vertical="center"/>
    </xf>
    <xf numFmtId="173" fontId="87" fillId="0" borderId="37" xfId="0" applyNumberFormat="1" applyFont="1" applyBorder="1" applyAlignment="1">
      <alignment vertical="center" wrapText="1"/>
    </xf>
    <xf numFmtId="10" fontId="87" fillId="0" borderId="38" xfId="0" applyNumberFormat="1" applyFont="1" applyBorder="1"/>
    <xf numFmtId="0" fontId="87" fillId="0" borderId="42" xfId="0" applyFont="1" applyBorder="1" applyAlignment="1">
      <alignment vertical="center" wrapText="1"/>
    </xf>
    <xf numFmtId="0" fontId="87" fillId="0" borderId="43" xfId="0" applyFont="1" applyBorder="1" applyAlignment="1">
      <alignment vertical="center" wrapText="1"/>
    </xf>
    <xf numFmtId="172" fontId="87" fillId="0" borderId="43" xfId="0" applyNumberFormat="1" applyFont="1" applyBorder="1" applyAlignment="1">
      <alignment horizontal="center" vertical="center"/>
    </xf>
    <xf numFmtId="173" fontId="87" fillId="0" borderId="43" xfId="0" applyNumberFormat="1" applyFont="1" applyBorder="1" applyAlignment="1">
      <alignment vertical="center" wrapText="1"/>
    </xf>
    <xf numFmtId="10" fontId="87" fillId="0" borderId="44" xfId="0" applyNumberFormat="1" applyFont="1" applyBorder="1"/>
    <xf numFmtId="0" fontId="87" fillId="0" borderId="27" xfId="0" applyFont="1" applyBorder="1" applyAlignment="1">
      <alignment vertical="center" wrapText="1"/>
    </xf>
    <xf numFmtId="0" fontId="87" fillId="0" borderId="35" xfId="0" applyFont="1" applyBorder="1" applyAlignment="1">
      <alignment vertical="center" wrapText="1"/>
    </xf>
    <xf numFmtId="172" fontId="87" fillId="0" borderId="35" xfId="0" applyNumberFormat="1" applyFont="1" applyBorder="1" applyAlignment="1">
      <alignment horizontal="center" vertical="center"/>
    </xf>
    <xf numFmtId="173" fontId="87" fillId="0" borderId="35" xfId="0" applyNumberFormat="1" applyFont="1" applyBorder="1" applyAlignment="1">
      <alignment vertical="center" wrapText="1"/>
    </xf>
    <xf numFmtId="10" fontId="87" fillId="0" borderId="28" xfId="0" applyNumberFormat="1" applyFont="1" applyBorder="1"/>
    <xf numFmtId="0" fontId="87" fillId="0" borderId="0" xfId="0" applyFont="1" applyAlignment="1">
      <alignment vertical="center" wrapText="1"/>
    </xf>
    <xf numFmtId="1" fontId="87" fillId="0" borderId="0" xfId="0" applyNumberFormat="1" applyFont="1" applyAlignment="1">
      <alignment horizontal="center" vertical="center" wrapText="1"/>
    </xf>
    <xf numFmtId="172" fontId="87" fillId="0" borderId="0" xfId="0" applyNumberFormat="1" applyFont="1" applyAlignment="1">
      <alignment horizontal="center" vertical="center" wrapText="1"/>
    </xf>
    <xf numFmtId="172" fontId="87" fillId="0" borderId="0" xfId="0" applyNumberFormat="1" applyFont="1" applyAlignment="1">
      <alignment horizontal="center" vertical="center"/>
    </xf>
    <xf numFmtId="173" fontId="87" fillId="0" borderId="0" xfId="0" applyNumberFormat="1" applyFont="1" applyAlignment="1">
      <alignment vertical="center" wrapText="1"/>
    </xf>
    <xf numFmtId="10" fontId="87" fillId="0" borderId="0" xfId="0" applyNumberFormat="1" applyFont="1"/>
    <xf numFmtId="0" fontId="49" fillId="0" borderId="31" xfId="0" applyFont="1" applyBorder="1" applyAlignment="1">
      <alignment vertical="center" wrapText="1"/>
    </xf>
    <xf numFmtId="0" fontId="49" fillId="0" borderId="31" xfId="0" applyFont="1" applyBorder="1" applyAlignment="1">
      <alignment wrapText="1"/>
    </xf>
    <xf numFmtId="0" fontId="49" fillId="0" borderId="26" xfId="0" applyFont="1" applyBorder="1" applyAlignment="1">
      <alignment wrapText="1"/>
    </xf>
    <xf numFmtId="2" fontId="87" fillId="0" borderId="33" xfId="0" applyNumberFormat="1" applyFont="1" applyBorder="1" applyAlignment="1">
      <alignment vertical="center" wrapText="1"/>
    </xf>
    <xf numFmtId="2" fontId="87" fillId="0" borderId="33" xfId="0" applyNumberFormat="1" applyFont="1" applyBorder="1" applyAlignment="1">
      <alignment vertical="center"/>
    </xf>
    <xf numFmtId="2" fontId="87" fillId="0" borderId="34" xfId="0" applyNumberFormat="1" applyFont="1" applyBorder="1"/>
    <xf numFmtId="2" fontId="87" fillId="0" borderId="35" xfId="0" applyNumberFormat="1" applyFont="1" applyBorder="1" applyAlignment="1">
      <alignment vertical="center" wrapText="1"/>
    </xf>
    <xf numFmtId="2" fontId="87" fillId="0" borderId="35" xfId="0" applyNumberFormat="1" applyFont="1" applyBorder="1" applyAlignment="1">
      <alignment vertical="center"/>
    </xf>
    <xf numFmtId="2" fontId="87" fillId="0" borderId="28" xfId="0" applyNumberFormat="1" applyFont="1" applyBorder="1"/>
    <xf numFmtId="0" fontId="49" fillId="0" borderId="73" xfId="0" applyFont="1" applyBorder="1" applyAlignment="1">
      <alignment horizontal="left" vertical="center" wrapText="1"/>
    </xf>
    <xf numFmtId="0" fontId="49" fillId="0" borderId="74" xfId="0" applyFont="1" applyBorder="1" applyAlignment="1">
      <alignment vertical="center" wrapText="1"/>
    </xf>
    <xf numFmtId="0" fontId="49" fillId="0" borderId="75" xfId="0" applyFont="1" applyBorder="1" applyAlignment="1">
      <alignment wrapText="1"/>
    </xf>
    <xf numFmtId="0" fontId="49" fillId="0" borderId="75" xfId="0" applyFont="1" applyBorder="1" applyAlignment="1">
      <alignment vertical="center" wrapText="1"/>
    </xf>
    <xf numFmtId="0" fontId="49" fillId="0" borderId="76" xfId="0" applyFont="1" applyBorder="1" applyAlignment="1">
      <alignment wrapText="1"/>
    </xf>
    <xf numFmtId="0" fontId="49" fillId="0" borderId="0" xfId="0" applyFont="1"/>
    <xf numFmtId="168" fontId="49" fillId="0" borderId="0" xfId="0" applyNumberFormat="1" applyFont="1"/>
    <xf numFmtId="0" fontId="87" fillId="0" borderId="46" xfId="0" applyFont="1" applyBorder="1" applyAlignment="1">
      <alignment vertical="center" wrapText="1"/>
    </xf>
    <xf numFmtId="168" fontId="87" fillId="0" borderId="32" xfId="0" applyNumberFormat="1" applyFont="1" applyBorder="1" applyAlignment="1">
      <alignment horizontal="right" vertical="center" wrapText="1"/>
    </xf>
    <xf numFmtId="168" fontId="87" fillId="0" borderId="33" xfId="0" applyNumberFormat="1" applyFont="1" applyBorder="1" applyAlignment="1">
      <alignment horizontal="right" vertical="center" wrapText="1"/>
    </xf>
    <xf numFmtId="168" fontId="87" fillId="0" borderId="33" xfId="0" applyNumberFormat="1" applyFont="1" applyBorder="1" applyAlignment="1">
      <alignment horizontal="right" vertical="center"/>
    </xf>
    <xf numFmtId="168" fontId="87" fillId="0" borderId="33" xfId="0" applyNumberFormat="1" applyFont="1" applyBorder="1" applyAlignment="1">
      <alignment horizontal="right"/>
    </xf>
    <xf numFmtId="168" fontId="87" fillId="0" borderId="77" xfId="0" applyNumberFormat="1" applyFont="1" applyBorder="1" applyAlignment="1">
      <alignment horizontal="right"/>
    </xf>
    <xf numFmtId="168" fontId="82" fillId="0" borderId="0" xfId="0" applyNumberFormat="1" applyFont="1"/>
    <xf numFmtId="0" fontId="87" fillId="0" borderId="49" xfId="0" applyFont="1" applyBorder="1" applyAlignment="1">
      <alignment vertical="center" wrapText="1"/>
    </xf>
    <xf numFmtId="168" fontId="87" fillId="0" borderId="36" xfId="0" applyNumberFormat="1" applyFont="1" applyBorder="1" applyAlignment="1">
      <alignment horizontal="right" vertical="center" wrapText="1"/>
    </xf>
    <xf numFmtId="168" fontId="87" fillId="0" borderId="37" xfId="0" applyNumberFormat="1" applyFont="1" applyBorder="1" applyAlignment="1">
      <alignment horizontal="right" vertical="center" wrapText="1"/>
    </xf>
    <xf numFmtId="168" fontId="87" fillId="0" borderId="37" xfId="0" applyNumberFormat="1" applyFont="1" applyBorder="1" applyAlignment="1">
      <alignment horizontal="right" vertical="center"/>
    </xf>
    <xf numFmtId="168" fontId="87" fillId="0" borderId="37" xfId="0" applyNumberFormat="1" applyFont="1" applyBorder="1" applyAlignment="1">
      <alignment horizontal="right"/>
    </xf>
    <xf numFmtId="168" fontId="87" fillId="0" borderId="78" xfId="0" applyNumberFormat="1" applyFont="1" applyBorder="1" applyAlignment="1">
      <alignment horizontal="right"/>
    </xf>
    <xf numFmtId="168" fontId="48" fillId="0" borderId="79" xfId="0" applyNumberFormat="1" applyFont="1" applyBorder="1" applyAlignment="1">
      <alignment horizontal="right"/>
    </xf>
    <xf numFmtId="168" fontId="87" fillId="0" borderId="78" xfId="0" applyNumberFormat="1" applyFont="1" applyBorder="1" applyAlignment="1">
      <alignment horizontal="right" vertical="center"/>
    </xf>
    <xf numFmtId="0" fontId="87" fillId="0" borderId="47" xfId="0" applyFont="1" applyBorder="1" applyAlignment="1">
      <alignment vertical="center" wrapText="1"/>
    </xf>
    <xf numFmtId="168" fontId="87" fillId="0" borderId="48" xfId="0" applyNumberFormat="1" applyFont="1" applyBorder="1" applyAlignment="1">
      <alignment horizontal="right" vertical="center" wrapText="1"/>
    </xf>
    <xf numFmtId="168" fontId="87" fillId="0" borderId="45" xfId="0" applyNumberFormat="1" applyFont="1" applyBorder="1" applyAlignment="1">
      <alignment horizontal="right" vertical="center" wrapText="1"/>
    </xf>
    <xf numFmtId="168" fontId="87" fillId="0" borderId="45" xfId="0" applyNumberFormat="1" applyFont="1" applyBorder="1" applyAlignment="1">
      <alignment horizontal="right" vertical="center"/>
    </xf>
    <xf numFmtId="168" fontId="87" fillId="0" borderId="45" xfId="0" applyNumberFormat="1" applyFont="1" applyBorder="1" applyAlignment="1">
      <alignment horizontal="right"/>
    </xf>
    <xf numFmtId="168" fontId="87" fillId="0" borderId="80" xfId="0" applyNumberFormat="1" applyFont="1" applyBorder="1" applyAlignment="1">
      <alignment horizontal="right"/>
    </xf>
    <xf numFmtId="168" fontId="87" fillId="0" borderId="0" xfId="0" applyNumberFormat="1" applyFont="1"/>
    <xf numFmtId="168" fontId="48" fillId="0" borderId="0" xfId="0" applyNumberFormat="1" applyFont="1"/>
    <xf numFmtId="0" fontId="48" fillId="0" borderId="0" xfId="0" applyFont="1" applyAlignment="1">
      <alignment horizontal="left" indent="1"/>
    </xf>
    <xf numFmtId="0" fontId="48" fillId="0" borderId="25" xfId="0" applyFont="1" applyBorder="1"/>
    <xf numFmtId="0" fontId="48" fillId="0" borderId="39" xfId="0" applyFont="1" applyBorder="1"/>
    <xf numFmtId="0" fontId="87" fillId="0" borderId="32" xfId="0" applyFont="1" applyBorder="1"/>
    <xf numFmtId="0" fontId="87" fillId="0" borderId="40" xfId="0" applyFont="1" applyBorder="1"/>
    <xf numFmtId="0" fontId="87" fillId="0" borderId="33" xfId="0" applyFont="1" applyBorder="1"/>
    <xf numFmtId="0" fontId="87" fillId="0" borderId="34" xfId="0" applyFont="1" applyBorder="1"/>
    <xf numFmtId="0" fontId="87" fillId="4" borderId="0" xfId="0" applyFont="1" applyFill="1"/>
    <xf numFmtId="0" fontId="132" fillId="0" borderId="0" xfId="0" applyFont="1"/>
    <xf numFmtId="0" fontId="87" fillId="0" borderId="36" xfId="0" applyFont="1" applyBorder="1"/>
    <xf numFmtId="0" fontId="87" fillId="0" borderId="53" xfId="0" applyFont="1" applyBorder="1"/>
    <xf numFmtId="0" fontId="87" fillId="0" borderId="37" xfId="0" applyFont="1" applyBorder="1"/>
    <xf numFmtId="0" fontId="87" fillId="0" borderId="27" xfId="0" applyFont="1" applyBorder="1"/>
    <xf numFmtId="0" fontId="87" fillId="0" borderId="41" xfId="0" applyFont="1" applyBorder="1"/>
    <xf numFmtId="0" fontId="87" fillId="0" borderId="35" xfId="0" applyFont="1" applyBorder="1"/>
    <xf numFmtId="0" fontId="87" fillId="0" borderId="28" xfId="0" applyFont="1" applyBorder="1"/>
    <xf numFmtId="0" fontId="48" fillId="0" borderId="51" xfId="0" applyFont="1" applyBorder="1"/>
    <xf numFmtId="0" fontId="48" fillId="0" borderId="54" xfId="0" applyFont="1" applyBorder="1"/>
    <xf numFmtId="0" fontId="49" fillId="0" borderId="52" xfId="0" applyFont="1" applyBorder="1" applyAlignment="1">
      <alignment vertical="center" wrapText="1"/>
    </xf>
    <xf numFmtId="0" fontId="49" fillId="0" borderId="56" xfId="0" applyFont="1" applyBorder="1" applyAlignment="1">
      <alignment wrapText="1"/>
    </xf>
    <xf numFmtId="0" fontId="49" fillId="0" borderId="30" xfId="0" applyFont="1" applyBorder="1" applyAlignment="1">
      <alignment wrapText="1"/>
    </xf>
    <xf numFmtId="168" fontId="87" fillId="0" borderId="33" xfId="0" applyNumberFormat="1" applyFont="1" applyBorder="1"/>
    <xf numFmtId="0" fontId="87" fillId="0" borderId="57" xfId="0" applyFont="1" applyBorder="1"/>
    <xf numFmtId="0" fontId="87" fillId="0" borderId="58" xfId="0" applyFont="1" applyBorder="1"/>
    <xf numFmtId="0" fontId="48" fillId="0" borderId="27" xfId="0" applyFont="1" applyBorder="1"/>
    <xf numFmtId="0" fontId="48" fillId="0" borderId="41" xfId="0" applyFont="1" applyBorder="1"/>
    <xf numFmtId="168" fontId="48" fillId="0" borderId="35" xfId="0" applyNumberFormat="1" applyFont="1" applyBorder="1"/>
    <xf numFmtId="168" fontId="48" fillId="0" borderId="59" xfId="0" applyNumberFormat="1" applyFont="1" applyBorder="1"/>
    <xf numFmtId="168" fontId="48" fillId="0" borderId="61" xfId="0" applyNumberFormat="1" applyFont="1" applyBorder="1"/>
    <xf numFmtId="0" fontId="87" fillId="0" borderId="199" xfId="0" applyFont="1" applyBorder="1"/>
    <xf numFmtId="0" fontId="87" fillId="0" borderId="200" xfId="0" applyFont="1" applyBorder="1"/>
    <xf numFmtId="0" fontId="87" fillId="0" borderId="180" xfId="0" applyFont="1" applyBorder="1"/>
    <xf numFmtId="0" fontId="87" fillId="0" borderId="202" xfId="0" applyFont="1" applyBorder="1"/>
    <xf numFmtId="168" fontId="87" fillId="0" borderId="31" xfId="0" applyNumberFormat="1" applyFont="1" applyBorder="1"/>
    <xf numFmtId="168" fontId="87" fillId="0" borderId="79" xfId="0" applyNumberFormat="1" applyFont="1" applyBorder="1"/>
    <xf numFmtId="0" fontId="87" fillId="0" borderId="147" xfId="0" applyFont="1" applyBorder="1"/>
    <xf numFmtId="0" fontId="87" fillId="0" borderId="77" xfId="0" applyFont="1" applyBorder="1"/>
    <xf numFmtId="0" fontId="87" fillId="0" borderId="153" xfId="0" applyFont="1" applyBorder="1"/>
    <xf numFmtId="168" fontId="87" fillId="0" borderId="35" xfId="0" applyNumberFormat="1" applyFont="1" applyBorder="1"/>
    <xf numFmtId="0" fontId="87" fillId="0" borderId="99" xfId="0" applyFont="1" applyBorder="1"/>
    <xf numFmtId="0" fontId="87" fillId="0" borderId="103" xfId="0" applyFont="1" applyBorder="1"/>
    <xf numFmtId="168" fontId="48" fillId="0" borderId="201" xfId="0" applyNumberFormat="1" applyFont="1" applyBorder="1"/>
    <xf numFmtId="168" fontId="48" fillId="0" borderId="104" xfId="0" applyNumberFormat="1" applyFont="1" applyBorder="1"/>
    <xf numFmtId="0" fontId="133" fillId="0" borderId="0" xfId="13" applyFont="1"/>
    <xf numFmtId="0" fontId="82" fillId="0" borderId="92" xfId="13" applyFont="1" applyBorder="1" applyAlignment="1">
      <alignment horizontal="left"/>
    </xf>
    <xf numFmtId="168" fontId="82" fillId="0" borderId="66" xfId="13" applyNumberFormat="1" applyFont="1" applyBorder="1"/>
    <xf numFmtId="0" fontId="82" fillId="0" borderId="93" xfId="13" applyFont="1" applyBorder="1" applyAlignment="1">
      <alignment horizontal="left"/>
    </xf>
    <xf numFmtId="0" fontId="82" fillId="0" borderId="105" xfId="13" applyFont="1" applyBorder="1" applyAlignment="1">
      <alignment horizontal="left"/>
    </xf>
    <xf numFmtId="0" fontId="82" fillId="0" borderId="97" xfId="13" applyFont="1" applyBorder="1" applyAlignment="1">
      <alignment horizontal="left"/>
    </xf>
    <xf numFmtId="0" fontId="82" fillId="0" borderId="107" xfId="13" applyFont="1" applyBorder="1" applyAlignment="1">
      <alignment horizontal="left"/>
    </xf>
    <xf numFmtId="0" fontId="82" fillId="0" borderId="0" xfId="13" applyFont="1" applyAlignment="1">
      <alignment horizontal="left"/>
    </xf>
    <xf numFmtId="0" fontId="82" fillId="0" borderId="148" xfId="13" applyFont="1" applyBorder="1" applyAlignment="1">
      <alignment horizontal="left"/>
    </xf>
    <xf numFmtId="0" fontId="82" fillId="0" borderId="202" xfId="13" applyFont="1" applyBorder="1" applyAlignment="1">
      <alignment horizontal="left"/>
    </xf>
    <xf numFmtId="0" fontId="87" fillId="0" borderId="22" xfId="0" applyFont="1" applyBorder="1"/>
    <xf numFmtId="0" fontId="87" fillId="0" borderId="8" xfId="0" applyFont="1" applyBorder="1"/>
    <xf numFmtId="0" fontId="87" fillId="0" borderId="90" xfId="0" applyFont="1" applyBorder="1"/>
    <xf numFmtId="9" fontId="87" fillId="0" borderId="21" xfId="0" applyNumberFormat="1" applyFont="1" applyBorder="1"/>
    <xf numFmtId="0" fontId="114" fillId="0" borderId="89" xfId="0" applyFont="1" applyBorder="1"/>
    <xf numFmtId="0" fontId="114" fillId="0" borderId="219" xfId="0" applyFont="1" applyBorder="1"/>
    <xf numFmtId="0" fontId="114" fillId="0" borderId="220" xfId="0" applyFont="1" applyBorder="1"/>
    <xf numFmtId="0" fontId="114" fillId="0" borderId="75" xfId="0" applyFont="1" applyBorder="1"/>
    <xf numFmtId="0" fontId="133" fillId="0" borderId="54" xfId="0" applyFont="1" applyBorder="1" applyAlignment="1">
      <alignment vertical="center"/>
    </xf>
    <xf numFmtId="0" fontId="133" fillId="0" borderId="67" xfId="0" applyFont="1" applyBorder="1" applyAlignment="1">
      <alignment vertical="center"/>
    </xf>
    <xf numFmtId="168" fontId="133" fillId="0" borderId="54" xfId="0" applyNumberFormat="1" applyFont="1" applyBorder="1" applyAlignment="1">
      <alignment vertical="center"/>
    </xf>
    <xf numFmtId="168" fontId="133" fillId="0" borderId="52" xfId="0" applyNumberFormat="1" applyFont="1" applyBorder="1" applyAlignment="1">
      <alignment vertical="center"/>
    </xf>
    <xf numFmtId="181" fontId="133" fillId="0" borderId="67" xfId="0" applyNumberFormat="1" applyFont="1" applyBorder="1" applyAlignment="1">
      <alignment vertical="center"/>
    </xf>
    <xf numFmtId="0" fontId="133" fillId="0" borderId="147" xfId="0" applyFont="1" applyBorder="1" applyAlignment="1">
      <alignment horizontal="left" vertical="center" wrapText="1"/>
    </xf>
    <xf numFmtId="0" fontId="133" fillId="0" borderId="34" xfId="0" applyFont="1" applyBorder="1" applyAlignment="1">
      <alignment horizontal="left" vertical="center" wrapText="1"/>
    </xf>
    <xf numFmtId="0" fontId="133" fillId="0" borderId="40" xfId="0" applyFont="1" applyBorder="1" applyAlignment="1">
      <alignment vertical="center"/>
    </xf>
    <xf numFmtId="0" fontId="133" fillId="0" borderId="34" xfId="0" applyFont="1" applyBorder="1" applyAlignment="1">
      <alignment vertical="center"/>
    </xf>
    <xf numFmtId="168" fontId="133" fillId="0" borderId="40" xfId="0" applyNumberFormat="1" applyFont="1" applyBorder="1" applyAlignment="1">
      <alignment vertical="center"/>
    </xf>
    <xf numFmtId="168" fontId="133" fillId="0" borderId="33" xfId="0" applyNumberFormat="1" applyFont="1" applyBorder="1" applyAlignment="1">
      <alignment vertical="center"/>
    </xf>
    <xf numFmtId="181" fontId="133" fillId="0" borderId="34" xfId="0" applyNumberFormat="1" applyFont="1" applyBorder="1" applyAlignment="1">
      <alignment vertical="center"/>
    </xf>
    <xf numFmtId="0" fontId="133" fillId="0" borderId="40" xfId="0" applyFont="1" applyBorder="1" applyAlignment="1">
      <alignment horizontal="left" vertical="center" wrapText="1"/>
    </xf>
    <xf numFmtId="0" fontId="133" fillId="0" borderId="33" xfId="0" applyFont="1" applyBorder="1" applyAlignment="1">
      <alignment horizontal="left" vertical="center" wrapText="1"/>
    </xf>
    <xf numFmtId="0" fontId="133" fillId="0" borderId="77" xfId="0" applyFont="1" applyBorder="1" applyAlignment="1">
      <alignment horizontal="left" vertical="center" wrapText="1"/>
    </xf>
    <xf numFmtId="181" fontId="133" fillId="0" borderId="40" xfId="0" applyNumberFormat="1" applyFont="1" applyBorder="1" applyAlignment="1">
      <alignment vertical="center"/>
    </xf>
    <xf numFmtId="181" fontId="133" fillId="0" borderId="33" xfId="0" applyNumberFormat="1" applyFont="1" applyBorder="1" applyAlignment="1">
      <alignment vertical="center"/>
    </xf>
    <xf numFmtId="0" fontId="133" fillId="0" borderId="86" xfId="0" applyFont="1" applyBorder="1" applyAlignment="1">
      <alignment vertical="center"/>
    </xf>
    <xf numFmtId="0" fontId="133" fillId="0" borderId="87" xfId="0" applyFont="1" applyBorder="1" applyAlignment="1">
      <alignment vertical="center"/>
    </xf>
    <xf numFmtId="181" fontId="133" fillId="0" borderId="45" xfId="0" applyNumberFormat="1" applyFont="1" applyBorder="1" applyAlignment="1">
      <alignment vertical="center"/>
    </xf>
    <xf numFmtId="181" fontId="133" fillId="0" borderId="87" xfId="0" applyNumberFormat="1" applyFont="1" applyBorder="1" applyAlignment="1">
      <alignment vertical="center"/>
    </xf>
    <xf numFmtId="0" fontId="133" fillId="3" borderId="0" xfId="13" applyFont="1" applyFill="1"/>
    <xf numFmtId="0" fontId="87" fillId="0" borderId="88" xfId="0" applyFont="1" applyBorder="1"/>
    <xf numFmtId="0" fontId="48" fillId="0" borderId="75" xfId="0" applyFont="1" applyBorder="1"/>
    <xf numFmtId="0" fontId="87" fillId="0" borderId="76" xfId="0" applyFont="1" applyBorder="1"/>
    <xf numFmtId="0" fontId="48" fillId="0" borderId="220" xfId="0" applyFont="1" applyBorder="1"/>
    <xf numFmtId="0" fontId="87" fillId="0" borderId="54" xfId="0" applyFont="1" applyBorder="1"/>
    <xf numFmtId="0" fontId="48" fillId="0" borderId="129" xfId="0" applyFont="1" applyBorder="1"/>
    <xf numFmtId="0" fontId="87" fillId="0" borderId="223" xfId="0" applyFont="1" applyBorder="1"/>
    <xf numFmtId="0" fontId="87" fillId="0" borderId="93" xfId="0" applyFont="1" applyBorder="1"/>
    <xf numFmtId="0" fontId="87" fillId="0" borderId="105" xfId="0" applyFont="1" applyBorder="1"/>
    <xf numFmtId="168" fontId="87" fillId="3" borderId="78" xfId="0" applyNumberFormat="1" applyFont="1" applyFill="1" applyBorder="1"/>
    <xf numFmtId="0" fontId="48" fillId="0" borderId="107" xfId="0" applyFont="1" applyBorder="1"/>
    <xf numFmtId="0" fontId="48" fillId="0" borderId="108" xfId="0" applyFont="1" applyBorder="1"/>
    <xf numFmtId="168" fontId="48" fillId="0" borderId="110" xfId="0" applyNumberFormat="1" applyFont="1" applyBorder="1"/>
    <xf numFmtId="1" fontId="82" fillId="0" borderId="31" xfId="13" applyNumberFormat="1" applyFont="1" applyBorder="1" applyAlignment="1">
      <alignment horizontal="right"/>
    </xf>
    <xf numFmtId="1" fontId="82" fillId="0" borderId="121" xfId="13" applyNumberFormat="1" applyFont="1" applyBorder="1" applyAlignment="1">
      <alignment horizontal="right"/>
    </xf>
    <xf numFmtId="9" fontId="87" fillId="0" borderId="0" xfId="0" applyNumberFormat="1" applyFont="1"/>
    <xf numFmtId="9" fontId="87" fillId="0" borderId="159" xfId="0" applyNumberFormat="1" applyFont="1" applyBorder="1"/>
    <xf numFmtId="168" fontId="87" fillId="0" borderId="218" xfId="0" applyNumberFormat="1" applyFont="1" applyBorder="1"/>
    <xf numFmtId="0" fontId="87" fillId="0" borderId="98" xfId="0" applyFont="1" applyBorder="1"/>
    <xf numFmtId="0" fontId="87" fillId="0" borderId="94" xfId="0" applyFont="1" applyBorder="1"/>
    <xf numFmtId="168" fontId="87" fillId="0" borderId="40" xfId="0" applyNumberFormat="1" applyFont="1" applyBorder="1"/>
    <xf numFmtId="168" fontId="87" fillId="0" borderId="77" xfId="0" applyNumberFormat="1" applyFont="1" applyBorder="1"/>
    <xf numFmtId="168" fontId="87" fillId="0" borderId="48" xfId="0" applyNumberFormat="1" applyFont="1" applyBorder="1"/>
    <xf numFmtId="168" fontId="87" fillId="0" borderId="45" xfId="0" applyNumberFormat="1" applyFont="1" applyBorder="1"/>
    <xf numFmtId="168" fontId="87" fillId="0" borderId="80" xfId="0" applyNumberFormat="1" applyFont="1" applyBorder="1"/>
    <xf numFmtId="0" fontId="48" fillId="0" borderId="76" xfId="0" applyFont="1" applyBorder="1"/>
    <xf numFmtId="0" fontId="49" fillId="0" borderId="150" xfId="13" applyFont="1" applyBorder="1" applyAlignment="1">
      <alignment horizontal="left"/>
    </xf>
    <xf numFmtId="168" fontId="49" fillId="0" borderId="38" xfId="13" applyNumberFormat="1" applyFont="1" applyBorder="1"/>
    <xf numFmtId="181" fontId="49" fillId="0" borderId="36" xfId="13" applyNumberFormat="1" applyFont="1" applyBorder="1"/>
    <xf numFmtId="1" fontId="49" fillId="0" borderId="37" xfId="13" applyNumberFormat="1" applyFont="1" applyBorder="1"/>
    <xf numFmtId="181" fontId="49" fillId="0" borderId="38" xfId="13" applyNumberFormat="1" applyFont="1" applyBorder="1"/>
    <xf numFmtId="0" fontId="49" fillId="0" borderId="36" xfId="13" applyFont="1" applyBorder="1"/>
    <xf numFmtId="181" fontId="49" fillId="0" borderId="78" xfId="13" applyNumberFormat="1" applyFont="1" applyBorder="1"/>
    <xf numFmtId="0" fontId="49" fillId="0" borderId="175" xfId="13" applyFont="1" applyBorder="1" applyAlignment="1">
      <alignment horizontal="left"/>
    </xf>
    <xf numFmtId="168" fontId="49" fillId="0" borderId="113" xfId="13" applyNumberFormat="1" applyFont="1" applyBorder="1"/>
    <xf numFmtId="181" fontId="49" fillId="0" borderId="113" xfId="13" applyNumberFormat="1" applyFont="1" applyBorder="1"/>
    <xf numFmtId="1" fontId="49" fillId="0" borderId="113" xfId="13" applyNumberFormat="1" applyFont="1" applyBorder="1"/>
    <xf numFmtId="0" fontId="49" fillId="0" borderId="113" xfId="13" applyFont="1" applyBorder="1"/>
    <xf numFmtId="181" fontId="49" fillId="0" borderId="225" xfId="13" applyNumberFormat="1" applyFont="1" applyBorder="1"/>
    <xf numFmtId="0" fontId="49" fillId="0" borderId="73" xfId="13" applyFont="1" applyBorder="1"/>
    <xf numFmtId="0" fontId="49" fillId="0" borderId="160" xfId="13" applyFont="1" applyBorder="1"/>
    <xf numFmtId="0" fontId="82" fillId="0" borderId="83" xfId="13" applyFont="1" applyBorder="1" applyAlignment="1">
      <alignment horizontal="left"/>
    </xf>
    <xf numFmtId="1" fontId="82" fillId="0" borderId="116" xfId="13" applyNumberFormat="1" applyFont="1" applyBorder="1"/>
    <xf numFmtId="181" fontId="82" fillId="0" borderId="116" xfId="13" applyNumberFormat="1" applyFont="1" applyBorder="1"/>
    <xf numFmtId="185" fontId="87" fillId="0" borderId="224" xfId="0" applyNumberFormat="1" applyFont="1" applyBorder="1"/>
    <xf numFmtId="168" fontId="128" fillId="3" borderId="40" xfId="0" applyNumberFormat="1" applyFont="1" applyFill="1" applyBorder="1"/>
    <xf numFmtId="0" fontId="48" fillId="9" borderId="223" xfId="0" applyFont="1" applyFill="1" applyBorder="1"/>
    <xf numFmtId="168" fontId="48" fillId="9" borderId="54" xfId="0" applyNumberFormat="1" applyFont="1" applyFill="1" applyBorder="1"/>
    <xf numFmtId="168" fontId="48" fillId="9" borderId="52" xfId="0" applyNumberFormat="1" applyFont="1" applyFill="1" applyBorder="1"/>
    <xf numFmtId="168" fontId="48" fillId="9" borderId="88" xfId="0" applyNumberFormat="1" applyFont="1" applyFill="1" applyBorder="1"/>
    <xf numFmtId="0" fontId="112" fillId="9" borderId="98" xfId="13" applyFont="1" applyFill="1" applyBorder="1"/>
    <xf numFmtId="0" fontId="112" fillId="9" borderId="100" xfId="13" applyFont="1" applyFill="1" applyBorder="1"/>
    <xf numFmtId="181" fontId="82" fillId="3" borderId="30" xfId="13" applyNumberFormat="1" applyFont="1" applyFill="1" applyBorder="1"/>
    <xf numFmtId="181" fontId="82" fillId="3" borderId="222" xfId="13" applyNumberFormat="1" applyFont="1" applyFill="1" applyBorder="1"/>
    <xf numFmtId="168" fontId="112" fillId="27" borderId="5" xfId="13" applyNumberFormat="1" applyFont="1" applyFill="1" applyBorder="1"/>
    <xf numFmtId="181" fontId="120" fillId="0" borderId="30" xfId="13" applyNumberFormat="1" applyFont="1" applyBorder="1"/>
    <xf numFmtId="181" fontId="112" fillId="3" borderId="30" xfId="13" applyNumberFormat="1" applyFont="1" applyFill="1" applyBorder="1"/>
    <xf numFmtId="181" fontId="112" fillId="3" borderId="222" xfId="13" applyNumberFormat="1" applyFont="1" applyFill="1" applyBorder="1"/>
    <xf numFmtId="168" fontId="119" fillId="0" borderId="66" xfId="13" applyNumberFormat="1" applyFont="1" applyBorder="1"/>
    <xf numFmtId="168" fontId="112" fillId="0" borderId="64" xfId="13" applyNumberFormat="1" applyFont="1" applyBorder="1"/>
    <xf numFmtId="168" fontId="112" fillId="0" borderId="106" xfId="13" applyNumberFormat="1" applyFont="1" applyBorder="1"/>
    <xf numFmtId="168" fontId="112" fillId="0" borderId="63" xfId="13" applyNumberFormat="1" applyFont="1" applyBorder="1"/>
    <xf numFmtId="168" fontId="118" fillId="0" borderId="64" xfId="13" applyNumberFormat="1" applyFont="1" applyBorder="1"/>
    <xf numFmtId="168" fontId="112" fillId="0" borderId="65" xfId="13" applyNumberFormat="1" applyFont="1" applyBorder="1"/>
    <xf numFmtId="168" fontId="112" fillId="0" borderId="66" xfId="13" applyNumberFormat="1" applyFont="1" applyBorder="1"/>
    <xf numFmtId="181" fontId="118" fillId="0" borderId="32" xfId="13" applyNumberFormat="1" applyFont="1" applyBorder="1"/>
    <xf numFmtId="1" fontId="119" fillId="0" borderId="31" xfId="13" applyNumberFormat="1" applyFont="1" applyBorder="1"/>
    <xf numFmtId="1" fontId="112" fillId="0" borderId="33" xfId="13" applyNumberFormat="1" applyFont="1" applyBorder="1"/>
    <xf numFmtId="1" fontId="112" fillId="0" borderId="37" xfId="13" applyNumberFormat="1" applyFont="1" applyBorder="1"/>
    <xf numFmtId="1" fontId="118" fillId="0" borderId="33" xfId="13" applyNumberFormat="1" applyFont="1" applyBorder="1"/>
    <xf numFmtId="1" fontId="112" fillId="0" borderId="35" xfId="13" applyNumberFormat="1" applyFont="1" applyBorder="1"/>
    <xf numFmtId="1" fontId="112" fillId="0" borderId="142" xfId="13" applyNumberFormat="1" applyFont="1" applyBorder="1"/>
    <xf numFmtId="1" fontId="120" fillId="0" borderId="33" xfId="13" applyNumberFormat="1" applyFont="1" applyBorder="1"/>
    <xf numFmtId="1" fontId="120" fillId="0" borderId="37" xfId="13" applyNumberFormat="1" applyFont="1" applyBorder="1"/>
    <xf numFmtId="1" fontId="120" fillId="0" borderId="31" xfId="13" applyNumberFormat="1" applyFont="1" applyBorder="1"/>
    <xf numFmtId="1" fontId="120" fillId="0" borderId="35" xfId="13" applyNumberFormat="1" applyFont="1" applyBorder="1"/>
    <xf numFmtId="3" fontId="87" fillId="0" borderId="40" xfId="0" applyNumberFormat="1" applyFont="1" applyBorder="1"/>
    <xf numFmtId="3" fontId="87" fillId="0" borderId="33" xfId="0" applyNumberFormat="1" applyFont="1" applyBorder="1"/>
    <xf numFmtId="3" fontId="87" fillId="0" borderId="77" xfId="0" applyNumberFormat="1" applyFont="1" applyBorder="1"/>
    <xf numFmtId="0" fontId="98" fillId="26" borderId="6" xfId="15" applyFont="1" applyFill="1" applyBorder="1"/>
    <xf numFmtId="0" fontId="98" fillId="0" borderId="6" xfId="15" applyFont="1" applyBorder="1"/>
    <xf numFmtId="0" fontId="99" fillId="0" borderId="0" xfId="15" applyFont="1"/>
    <xf numFmtId="0" fontId="99" fillId="0" borderId="6" xfId="15" applyFont="1" applyBorder="1" applyAlignment="1">
      <alignment vertical="center"/>
    </xf>
    <xf numFmtId="181" fontId="99" fillId="27" borderId="6" xfId="15" applyNumberFormat="1" applyFont="1" applyFill="1" applyBorder="1" applyAlignment="1">
      <alignment vertical="center"/>
    </xf>
    <xf numFmtId="181" fontId="99" fillId="0" borderId="6" xfId="15" applyNumberFormat="1" applyFont="1" applyBorder="1" applyAlignment="1">
      <alignment vertical="center"/>
    </xf>
    <xf numFmtId="0" fontId="99" fillId="0" borderId="6" xfId="15" applyFont="1" applyBorder="1" applyAlignment="1">
      <alignment vertical="center" wrapText="1"/>
    </xf>
    <xf numFmtId="0" fontId="99" fillId="12" borderId="6" xfId="15" applyFont="1" applyFill="1" applyBorder="1" applyAlignment="1">
      <alignment vertical="center"/>
    </xf>
    <xf numFmtId="181" fontId="99" fillId="35" borderId="6" xfId="15" applyNumberFormat="1" applyFont="1" applyFill="1" applyBorder="1" applyAlignment="1">
      <alignment vertical="center"/>
    </xf>
    <xf numFmtId="181" fontId="99" fillId="12" borderId="6" xfId="15" applyNumberFormat="1" applyFont="1" applyFill="1" applyBorder="1" applyAlignment="1">
      <alignment vertical="center"/>
    </xf>
    <xf numFmtId="0" fontId="99" fillId="12" borderId="6" xfId="15" applyFont="1" applyFill="1" applyBorder="1" applyAlignment="1">
      <alignment vertical="center" wrapText="1"/>
    </xf>
    <xf numFmtId="0" fontId="99" fillId="36" borderId="6" xfId="15" applyFont="1" applyFill="1" applyBorder="1" applyAlignment="1">
      <alignment vertical="center"/>
    </xf>
    <xf numFmtId="0" fontId="99" fillId="17" borderId="6" xfId="15" applyFont="1" applyFill="1" applyBorder="1" applyAlignment="1">
      <alignment vertical="center"/>
    </xf>
    <xf numFmtId="0" fontId="1" fillId="0" borderId="0" xfId="15"/>
    <xf numFmtId="3" fontId="99" fillId="36" borderId="6" xfId="15" applyNumberFormat="1" applyFont="1" applyFill="1" applyBorder="1" applyAlignment="1">
      <alignment vertical="center"/>
    </xf>
    <xf numFmtId="3" fontId="99" fillId="0" borderId="6" xfId="15" applyNumberFormat="1" applyFont="1" applyBorder="1" applyAlignment="1">
      <alignment vertical="center"/>
    </xf>
    <xf numFmtId="0" fontId="99" fillId="0" borderId="4" xfId="15" applyFont="1" applyBorder="1" applyAlignment="1">
      <alignment vertical="center"/>
    </xf>
    <xf numFmtId="3" fontId="99" fillId="0" borderId="4" xfId="15" applyNumberFormat="1" applyFont="1" applyBorder="1" applyAlignment="1">
      <alignment vertical="center"/>
    </xf>
    <xf numFmtId="181" fontId="99" fillId="27" borderId="4" xfId="15" applyNumberFormat="1" applyFont="1" applyFill="1" applyBorder="1" applyAlignment="1">
      <alignment vertical="center"/>
    </xf>
    <xf numFmtId="181" fontId="99" fillId="0" borderId="4" xfId="15" applyNumberFormat="1" applyFont="1" applyBorder="1" applyAlignment="1">
      <alignment vertical="center"/>
    </xf>
    <xf numFmtId="0" fontId="99" fillId="0" borderId="4" xfId="15" applyFont="1" applyBorder="1" applyAlignment="1">
      <alignment vertical="center" wrapText="1"/>
    </xf>
    <xf numFmtId="0" fontId="99" fillId="12" borderId="6" xfId="15" applyFont="1" applyFill="1" applyBorder="1"/>
    <xf numFmtId="0" fontId="99" fillId="12" borderId="6" xfId="15" applyFont="1" applyFill="1" applyBorder="1" applyAlignment="1">
      <alignment wrapText="1"/>
    </xf>
    <xf numFmtId="0" fontId="99" fillId="12" borderId="0" xfId="15" applyFont="1" applyFill="1"/>
    <xf numFmtId="0" fontId="1" fillId="12" borderId="0" xfId="15" applyFill="1"/>
    <xf numFmtId="0" fontId="99" fillId="36" borderId="0" xfId="15" applyFont="1" applyFill="1"/>
    <xf numFmtId="0" fontId="136" fillId="0" borderId="0" xfId="0" applyFont="1"/>
    <xf numFmtId="0" fontId="138" fillId="0" borderId="0" xfId="0" applyFont="1"/>
    <xf numFmtId="0" fontId="102" fillId="0" borderId="0" xfId="0" applyFont="1"/>
    <xf numFmtId="0" fontId="139" fillId="0" borderId="0" xfId="0" applyFont="1"/>
    <xf numFmtId="0" fontId="140" fillId="6" borderId="0" xfId="4" applyFont="1" applyFill="1"/>
    <xf numFmtId="0" fontId="140" fillId="7" borderId="0" xfId="4" applyFont="1" applyFill="1" applyAlignment="1">
      <alignment horizontal="left" indent="1"/>
    </xf>
    <xf numFmtId="0" fontId="140" fillId="19" borderId="0" xfId="4" applyFont="1" applyFill="1" applyAlignment="1">
      <alignment horizontal="left" indent="1"/>
    </xf>
    <xf numFmtId="0" fontId="140" fillId="20" borderId="0" xfId="4" applyFont="1" applyFill="1" applyAlignment="1">
      <alignment horizontal="left" indent="2"/>
    </xf>
    <xf numFmtId="0" fontId="140" fillId="8" borderId="0" xfId="4" applyFont="1" applyFill="1" applyAlignment="1">
      <alignment horizontal="left" indent="2"/>
    </xf>
    <xf numFmtId="0" fontId="140" fillId="14" borderId="0" xfId="4" applyFont="1" applyFill="1" applyAlignment="1">
      <alignment horizontal="left" indent="2"/>
    </xf>
    <xf numFmtId="0" fontId="140" fillId="0" borderId="0" xfId="4" applyFont="1" applyAlignment="1">
      <alignment horizontal="left" indent="2"/>
    </xf>
    <xf numFmtId="0" fontId="140" fillId="0" borderId="0" xfId="4" applyFont="1" applyFill="1" applyAlignment="1">
      <alignment horizontal="left" indent="2"/>
    </xf>
    <xf numFmtId="0" fontId="141" fillId="17" borderId="0" xfId="0" applyFont="1" applyFill="1"/>
    <xf numFmtId="0" fontId="140" fillId="0" borderId="0" xfId="4" applyFont="1"/>
    <xf numFmtId="0" fontId="140" fillId="0" borderId="0" xfId="4" quotePrefix="1" applyFont="1"/>
    <xf numFmtId="0" fontId="142" fillId="2" borderId="0" xfId="4" applyFont="1" applyFill="1"/>
    <xf numFmtId="0" fontId="140" fillId="20" borderId="0" xfId="4" applyFont="1" applyFill="1"/>
    <xf numFmtId="0" fontId="140" fillId="20" borderId="0" xfId="4" applyFont="1" applyFill="1" applyAlignment="1">
      <alignment horizontal="left" indent="1"/>
    </xf>
    <xf numFmtId="0" fontId="9" fillId="20" borderId="0" xfId="4" applyFill="1" applyAlignment="1">
      <alignment horizontal="left" indent="1"/>
    </xf>
    <xf numFmtId="0" fontId="143" fillId="12" borderId="0" xfId="4" applyFont="1" applyFill="1"/>
    <xf numFmtId="0" fontId="142" fillId="2" borderId="0" xfId="4" applyFont="1" applyFill="1" applyAlignment="1">
      <alignment horizontal="left" indent="1"/>
    </xf>
    <xf numFmtId="0" fontId="135" fillId="0" borderId="0" xfId="0" applyFont="1" applyAlignment="1">
      <alignment vertical="center"/>
    </xf>
    <xf numFmtId="0" fontId="135" fillId="0" borderId="10" xfId="0" applyFont="1" applyBorder="1" applyAlignment="1">
      <alignment vertical="center"/>
    </xf>
    <xf numFmtId="0" fontId="144" fillId="0" borderId="0" xfId="0" applyFont="1" applyAlignment="1">
      <alignment horizontal="center"/>
    </xf>
    <xf numFmtId="0" fontId="145" fillId="0" borderId="0" xfId="0" applyFont="1" applyAlignment="1">
      <alignment vertical="center" wrapText="1"/>
    </xf>
    <xf numFmtId="0" fontId="145" fillId="0" borderId="0" xfId="0" applyFont="1" applyAlignment="1">
      <alignment horizontal="center"/>
    </xf>
    <xf numFmtId="0" fontId="136" fillId="23" borderId="22" xfId="0" applyFont="1" applyFill="1" applyBorder="1" applyAlignment="1">
      <alignment horizontal="left"/>
    </xf>
    <xf numFmtId="0" fontId="136" fillId="23" borderId="22" xfId="0" applyFont="1" applyFill="1" applyBorder="1" applyAlignment="1">
      <alignment horizontal="center"/>
    </xf>
    <xf numFmtId="0" fontId="136" fillId="0" borderId="22" xfId="0" applyFont="1" applyBorder="1" applyAlignment="1">
      <alignment horizontal="center"/>
    </xf>
    <xf numFmtId="0" fontId="136" fillId="0" borderId="0" xfId="0" applyFont="1" applyAlignment="1">
      <alignment horizontal="center"/>
    </xf>
    <xf numFmtId="0" fontId="136" fillId="0" borderId="22" xfId="0" applyFont="1" applyBorder="1" applyAlignment="1">
      <alignment horizontal="left"/>
    </xf>
    <xf numFmtId="0" fontId="136" fillId="21" borderId="6" xfId="0" applyFont="1" applyFill="1" applyBorder="1" applyAlignment="1">
      <alignment horizontal="center"/>
    </xf>
    <xf numFmtId="0" fontId="136" fillId="21" borderId="7" xfId="0" applyFont="1" applyFill="1" applyBorder="1" applyAlignment="1">
      <alignment horizontal="center"/>
    </xf>
    <xf numFmtId="0" fontId="136" fillId="23" borderId="0" xfId="0" applyFont="1" applyFill="1" applyAlignment="1">
      <alignment horizontal="left"/>
    </xf>
    <xf numFmtId="0" fontId="136" fillId="23" borderId="0" xfId="0" applyFont="1" applyFill="1"/>
    <xf numFmtId="0" fontId="136" fillId="0" borderId="0" xfId="0" applyFont="1" applyAlignment="1">
      <alignment horizontal="left" indent="1"/>
    </xf>
    <xf numFmtId="0" fontId="136" fillId="3" borderId="0" xfId="0" applyFont="1" applyFill="1" applyAlignment="1">
      <alignment horizontal="left" indent="1"/>
    </xf>
    <xf numFmtId="0" fontId="136" fillId="23" borderId="4" xfId="0" applyFont="1" applyFill="1" applyBorder="1" applyAlignment="1">
      <alignment horizontal="center"/>
    </xf>
    <xf numFmtId="0" fontId="136" fillId="0" borderId="4" xfId="0" applyFont="1" applyBorder="1" applyAlignment="1">
      <alignment horizontal="center"/>
    </xf>
    <xf numFmtId="0" fontId="136" fillId="0" borderId="1" xfId="0" applyFont="1" applyBorder="1" applyAlignment="1">
      <alignment horizontal="left"/>
    </xf>
    <xf numFmtId="0" fontId="136" fillId="0" borderId="6" xfId="0" applyFont="1" applyBorder="1" applyAlignment="1">
      <alignment horizontal="center"/>
    </xf>
    <xf numFmtId="0" fontId="145" fillId="0" borderId="22" xfId="0" applyFont="1" applyBorder="1" applyAlignment="1">
      <alignment horizontal="center"/>
    </xf>
    <xf numFmtId="0" fontId="145" fillId="0" borderId="1" xfId="0" applyFont="1" applyBorder="1" applyAlignment="1">
      <alignment horizontal="center"/>
    </xf>
    <xf numFmtId="0" fontId="145" fillId="21" borderId="6" xfId="0" applyFont="1" applyFill="1" applyBorder="1" applyAlignment="1">
      <alignment horizontal="center"/>
    </xf>
    <xf numFmtId="0" fontId="145" fillId="0" borderId="0" xfId="0" applyFont="1" applyAlignment="1">
      <alignment horizontal="center" vertical="center" wrapText="1"/>
    </xf>
    <xf numFmtId="0" fontId="136" fillId="0" borderId="85" xfId="0" applyFont="1" applyBorder="1" applyAlignment="1">
      <alignment horizontal="center"/>
    </xf>
    <xf numFmtId="0" fontId="144" fillId="0" borderId="0" xfId="0" applyFont="1" applyAlignment="1">
      <alignment horizontal="center" vertical="center"/>
    </xf>
    <xf numFmtId="0" fontId="146" fillId="34" borderId="0" xfId="0" applyFont="1" applyFill="1" applyAlignment="1">
      <alignment vertical="center"/>
    </xf>
    <xf numFmtId="0" fontId="146" fillId="34" borderId="0" xfId="0" applyFont="1" applyFill="1" applyAlignment="1">
      <alignment horizontal="right" vertical="center"/>
    </xf>
    <xf numFmtId="0" fontId="146" fillId="34" borderId="0" xfId="0" applyFont="1" applyFill="1" applyAlignment="1">
      <alignment horizontal="right" vertical="center" wrapText="1"/>
    </xf>
    <xf numFmtId="0" fontId="146" fillId="34" borderId="212" xfId="0" applyFont="1" applyFill="1" applyBorder="1" applyAlignment="1">
      <alignment horizontal="right" vertical="center"/>
    </xf>
    <xf numFmtId="0" fontId="138" fillId="0" borderId="0" xfId="0" applyFont="1" applyAlignment="1">
      <alignment vertical="center"/>
    </xf>
    <xf numFmtId="183" fontId="138" fillId="0" borderId="0" xfId="0" applyNumberFormat="1" applyFont="1"/>
    <xf numFmtId="0" fontId="138" fillId="0" borderId="207" xfId="0" applyFont="1" applyBorder="1" applyAlignment="1">
      <alignment vertical="center"/>
    </xf>
    <xf numFmtId="183" fontId="138" fillId="0" borderId="207" xfId="0" applyNumberFormat="1" applyFont="1" applyBorder="1" applyAlignment="1">
      <alignment horizontal="right" vertical="center"/>
    </xf>
    <xf numFmtId="0" fontId="146" fillId="34" borderId="215" xfId="0" applyFont="1" applyFill="1" applyBorder="1" applyAlignment="1">
      <alignment horizontal="center" vertical="center"/>
    </xf>
    <xf numFmtId="0" fontId="146" fillId="34" borderId="216" xfId="0" applyFont="1" applyFill="1" applyBorder="1" applyAlignment="1">
      <alignment horizontal="center" vertical="center" wrapText="1"/>
    </xf>
    <xf numFmtId="0" fontId="146" fillId="34" borderId="217" xfId="0" applyFont="1" applyFill="1" applyBorder="1" applyAlignment="1">
      <alignment horizontal="center" vertical="center" wrapText="1"/>
    </xf>
    <xf numFmtId="0" fontId="138" fillId="0" borderId="0" xfId="0" applyFont="1" applyAlignment="1">
      <alignment horizontal="left"/>
    </xf>
    <xf numFmtId="184" fontId="138" fillId="0" borderId="0" xfId="0" applyNumberFormat="1" applyFont="1" applyAlignment="1">
      <alignment horizontal="right" vertical="center"/>
    </xf>
    <xf numFmtId="184" fontId="138" fillId="0" borderId="208" xfId="0" applyNumberFormat="1" applyFont="1" applyBorder="1" applyAlignment="1">
      <alignment horizontal="right" vertical="center"/>
    </xf>
    <xf numFmtId="0" fontId="137" fillId="0" borderId="209" xfId="0" applyFont="1" applyBorder="1" applyAlignment="1">
      <alignment horizontal="left" vertical="center"/>
    </xf>
    <xf numFmtId="184" fontId="137" fillId="0" borderId="209" xfId="0" applyNumberFormat="1" applyFont="1" applyBorder="1" applyAlignment="1">
      <alignment horizontal="right" vertical="center"/>
    </xf>
    <xf numFmtId="184" fontId="137" fillId="0" borderId="210" xfId="0" applyNumberFormat="1" applyFont="1" applyBorder="1" applyAlignment="1">
      <alignment horizontal="right" vertical="center"/>
    </xf>
    <xf numFmtId="8" fontId="138" fillId="0" borderId="0" xfId="0" applyNumberFormat="1" applyFont="1" applyAlignment="1">
      <alignment horizontal="right" vertical="center"/>
    </xf>
    <xf numFmtId="10" fontId="103" fillId="0" borderId="226" xfId="0" applyNumberFormat="1" applyFont="1" applyBorder="1"/>
    <xf numFmtId="10" fontId="18" fillId="0" borderId="0" xfId="0" applyNumberFormat="1" applyFont="1"/>
    <xf numFmtId="10" fontId="46" fillId="0" borderId="0" xfId="0" applyNumberFormat="1" applyFont="1"/>
    <xf numFmtId="10" fontId="21" fillId="0" borderId="0" xfId="0" applyNumberFormat="1" applyFont="1" applyAlignment="1">
      <alignment horizontal="center"/>
    </xf>
    <xf numFmtId="10" fontId="21" fillId="5" borderId="227" xfId="0" applyNumberFormat="1" applyFont="1" applyFill="1" applyBorder="1"/>
    <xf numFmtId="10" fontId="18" fillId="0" borderId="227" xfId="0" applyNumberFormat="1" applyFont="1" applyBorder="1"/>
    <xf numFmtId="10" fontId="18" fillId="3" borderId="227" xfId="0" applyNumberFormat="1" applyFont="1" applyFill="1" applyBorder="1"/>
    <xf numFmtId="10" fontId="21" fillId="5" borderId="228" xfId="0" applyNumberFormat="1" applyFont="1" applyFill="1" applyBorder="1"/>
    <xf numFmtId="10" fontId="18" fillId="0" borderId="229" xfId="0" applyNumberFormat="1" applyFont="1" applyBorder="1"/>
    <xf numFmtId="10" fontId="18" fillId="32" borderId="0" xfId="0" applyNumberFormat="1" applyFont="1" applyFill="1"/>
    <xf numFmtId="10" fontId="18" fillId="0" borderId="96" xfId="0" applyNumberFormat="1" applyFont="1" applyBorder="1"/>
    <xf numFmtId="10" fontId="0" fillId="0" borderId="54" xfId="0" applyNumberFormat="1" applyBorder="1"/>
    <xf numFmtId="10" fontId="18" fillId="0" borderId="40" xfId="0" applyNumberFormat="1" applyFont="1" applyBorder="1"/>
    <xf numFmtId="10" fontId="18" fillId="0" borderId="41" xfId="0" applyNumberFormat="1" applyFont="1" applyBorder="1"/>
    <xf numFmtId="10" fontId="103" fillId="0" borderId="194" xfId="0" applyNumberFormat="1" applyFont="1" applyBorder="1"/>
    <xf numFmtId="10" fontId="21" fillId="5" borderId="186" xfId="0" applyNumberFormat="1" applyFont="1" applyFill="1" applyBorder="1"/>
    <xf numFmtId="10" fontId="18" fillId="0" borderId="186" xfId="0" applyNumberFormat="1" applyFont="1" applyBorder="1"/>
    <xf numFmtId="10" fontId="18" fillId="3" borderId="186" xfId="0" applyNumberFormat="1" applyFont="1" applyFill="1" applyBorder="1"/>
    <xf numFmtId="10" fontId="21" fillId="5" borderId="197" xfId="0" applyNumberFormat="1" applyFont="1" applyFill="1" applyBorder="1"/>
    <xf numFmtId="10" fontId="18" fillId="0" borderId="189" xfId="0" applyNumberFormat="1" applyFont="1" applyBorder="1"/>
    <xf numFmtId="10" fontId="18" fillId="0" borderId="69" xfId="0" applyNumberFormat="1" applyFont="1" applyBorder="1"/>
    <xf numFmtId="10" fontId="0" fillId="0" borderId="52" xfId="0" applyNumberFormat="1" applyBorder="1"/>
    <xf numFmtId="10" fontId="18" fillId="0" borderId="35" xfId="0" applyNumberFormat="1" applyFont="1" applyBorder="1"/>
    <xf numFmtId="183" fontId="138" fillId="0" borderId="207" xfId="0" applyNumberFormat="1" applyFont="1" applyBorder="1" applyAlignment="1">
      <alignment vertical="center"/>
    </xf>
    <xf numFmtId="10" fontId="138" fillId="0" borderId="0" xfId="0" applyNumberFormat="1" applyFont="1" applyAlignment="1">
      <alignment horizontal="right" vertical="center"/>
    </xf>
    <xf numFmtId="10" fontId="138" fillId="0" borderId="214" xfId="0" applyNumberFormat="1" applyFont="1" applyBorder="1"/>
    <xf numFmtId="10" fontId="138" fillId="0" borderId="0" xfId="0" applyNumberFormat="1" applyFont="1"/>
    <xf numFmtId="10" fontId="138" fillId="0" borderId="207" xfId="0" applyNumberFormat="1" applyFont="1" applyBorder="1" applyAlignment="1">
      <alignment horizontal="right" vertical="center"/>
    </xf>
    <xf numFmtId="10" fontId="138" fillId="0" borderId="213" xfId="0" applyNumberFormat="1" applyFont="1" applyBorder="1" applyAlignment="1">
      <alignment vertical="center"/>
    </xf>
    <xf numFmtId="10" fontId="138" fillId="0" borderId="214" xfId="0" applyNumberFormat="1" applyFont="1" applyBorder="1" applyAlignment="1">
      <alignment horizontal="right" vertical="center"/>
    </xf>
    <xf numFmtId="10" fontId="138" fillId="0" borderId="213" xfId="0" applyNumberFormat="1" applyFont="1" applyBorder="1" applyAlignment="1">
      <alignment horizontal="right" vertical="center"/>
    </xf>
    <xf numFmtId="183" fontId="138" fillId="0" borderId="0" xfId="0" applyNumberFormat="1" applyFont="1" applyAlignment="1">
      <alignment vertical="center"/>
    </xf>
    <xf numFmtId="0" fontId="98" fillId="26" borderId="6" xfId="16" applyFont="1" applyFill="1" applyBorder="1"/>
    <xf numFmtId="0" fontId="98" fillId="0" borderId="6" xfId="16" applyFont="1" applyBorder="1"/>
    <xf numFmtId="0" fontId="99" fillId="0" borderId="0" xfId="16" applyFont="1"/>
    <xf numFmtId="0" fontId="99" fillId="0" borderId="6" xfId="16" applyFont="1" applyBorder="1" applyAlignment="1">
      <alignment vertical="center"/>
    </xf>
    <xf numFmtId="181" fontId="99" fillId="27" borderId="6" xfId="16" applyNumberFormat="1" applyFont="1" applyFill="1" applyBorder="1" applyAlignment="1">
      <alignment vertical="center"/>
    </xf>
    <xf numFmtId="181" fontId="99" fillId="0" borderId="6" xfId="16" applyNumberFormat="1" applyFont="1" applyBorder="1" applyAlignment="1">
      <alignment vertical="center"/>
    </xf>
    <xf numFmtId="0" fontId="99" fillId="0" borderId="6" xfId="13" applyFont="1" applyBorder="1" applyAlignment="1">
      <alignment vertical="center" wrapText="1"/>
    </xf>
    <xf numFmtId="3" fontId="99" fillId="0" borderId="6" xfId="16" applyNumberFormat="1" applyFont="1" applyBorder="1" applyAlignment="1">
      <alignment vertical="center"/>
    </xf>
    <xf numFmtId="181" fontId="99" fillId="0" borderId="0" xfId="16" applyNumberFormat="1" applyFont="1"/>
    <xf numFmtId="0" fontId="125" fillId="0" borderId="0" xfId="16"/>
    <xf numFmtId="3" fontId="87" fillId="0" borderId="159" xfId="0" applyNumberFormat="1" applyFont="1" applyBorder="1"/>
    <xf numFmtId="168" fontId="128" fillId="3" borderId="159" xfId="0" applyNumberFormat="1" applyFont="1" applyFill="1" applyBorder="1"/>
    <xf numFmtId="168" fontId="87" fillId="0" borderId="53" xfId="0" applyNumberFormat="1" applyFont="1" applyBorder="1"/>
    <xf numFmtId="168" fontId="87" fillId="0" borderId="37" xfId="0" applyNumberFormat="1" applyFont="1" applyBorder="1"/>
    <xf numFmtId="168" fontId="87" fillId="0" borderId="78" xfId="0" applyNumberFormat="1" applyFont="1" applyBorder="1"/>
    <xf numFmtId="0" fontId="48" fillId="9" borderId="92" xfId="0" applyFont="1" applyFill="1" applyBorder="1"/>
    <xf numFmtId="168" fontId="48" fillId="9" borderId="39" xfId="0" applyNumberFormat="1" applyFont="1" applyFill="1" applyBorder="1"/>
    <xf numFmtId="168" fontId="48" fillId="9" borderId="31" xfId="0" applyNumberFormat="1" applyFont="1" applyFill="1" applyBorder="1"/>
    <xf numFmtId="168" fontId="48" fillId="9" borderId="79" xfId="0" applyNumberFormat="1" applyFont="1" applyFill="1" applyBorder="1"/>
    <xf numFmtId="0" fontId="87" fillId="0" borderId="97" xfId="0" applyFont="1" applyBorder="1"/>
    <xf numFmtId="168" fontId="87" fillId="0" borderId="41" xfId="0" applyNumberFormat="1" applyFont="1" applyBorder="1"/>
    <xf numFmtId="168" fontId="87" fillId="0" borderId="99" xfId="0" applyNumberFormat="1" applyFont="1" applyBorder="1"/>
    <xf numFmtId="168" fontId="18" fillId="10" borderId="186" xfId="0" applyNumberFormat="1" applyFont="1" applyFill="1" applyBorder="1"/>
    <xf numFmtId="168" fontId="87" fillId="0" borderId="224" xfId="0" applyNumberFormat="1" applyFont="1" applyBorder="1"/>
    <xf numFmtId="168" fontId="58" fillId="0" borderId="0" xfId="0" applyNumberFormat="1" applyFont="1"/>
    <xf numFmtId="181" fontId="128" fillId="0" borderId="34" xfId="13" applyNumberFormat="1" applyFont="1" applyBorder="1"/>
    <xf numFmtId="181" fontId="128" fillId="0" borderId="38" xfId="13" applyNumberFormat="1" applyFont="1" applyBorder="1"/>
    <xf numFmtId="181" fontId="147" fillId="0" borderId="34" xfId="13" applyNumberFormat="1" applyFont="1" applyBorder="1"/>
    <xf numFmtId="168" fontId="148" fillId="0" borderId="0" xfId="0" applyNumberFormat="1" applyFont="1"/>
    <xf numFmtId="168" fontId="82" fillId="3" borderId="5" xfId="13" applyNumberFormat="1" applyFont="1" applyFill="1" applyBorder="1"/>
    <xf numFmtId="168" fontId="128" fillId="3" borderId="54" xfId="0" applyNumberFormat="1" applyFont="1" applyFill="1" applyBorder="1"/>
    <xf numFmtId="168" fontId="128" fillId="3" borderId="230" xfId="0" applyNumberFormat="1" applyFont="1" applyFill="1" applyBorder="1"/>
    <xf numFmtId="168" fontId="87" fillId="0" borderId="86" xfId="0" applyNumberFormat="1" applyFont="1" applyBorder="1"/>
    <xf numFmtId="0" fontId="22" fillId="0" borderId="0" xfId="0" applyFont="1" applyAlignment="1">
      <alignment vertical="center" wrapText="1"/>
    </xf>
    <xf numFmtId="49" fontId="22" fillId="0" borderId="0" xfId="0" applyNumberFormat="1" applyFont="1" applyAlignment="1">
      <alignment vertical="center" wrapText="1"/>
    </xf>
    <xf numFmtId="0" fontId="22" fillId="0" borderId="0" xfId="0" applyFont="1" applyAlignment="1">
      <alignment wrapText="1"/>
    </xf>
    <xf numFmtId="0" fontId="22" fillId="0" borderId="0" xfId="0" applyFont="1" applyAlignment="1">
      <alignment horizontal="center" wrapText="1"/>
    </xf>
    <xf numFmtId="0" fontId="22" fillId="0" borderId="0" xfId="0" applyFont="1"/>
    <xf numFmtId="49" fontId="18" fillId="0" borderId="0" xfId="0" applyNumberFormat="1" applyFont="1" applyAlignment="1">
      <alignment vertical="center" wrapText="1"/>
    </xf>
    <xf numFmtId="3" fontId="18" fillId="0" borderId="0" xfId="0" applyNumberFormat="1" applyFont="1"/>
    <xf numFmtId="0" fontId="149" fillId="0" borderId="0" xfId="0" applyFont="1" applyAlignment="1">
      <alignment vertical="center" wrapText="1"/>
    </xf>
    <xf numFmtId="0" fontId="18" fillId="0" borderId="0" xfId="0" applyFont="1" applyAlignment="1">
      <alignment horizontal="left" vertical="center" wrapText="1"/>
    </xf>
    <xf numFmtId="181" fontId="133" fillId="0" borderId="86" xfId="0" applyNumberFormat="1" applyFont="1" applyBorder="1" applyAlignment="1">
      <alignment vertical="center"/>
    </xf>
    <xf numFmtId="168" fontId="82" fillId="0" borderId="40" xfId="0" applyNumberFormat="1" applyFont="1" applyBorder="1"/>
    <xf numFmtId="168" fontId="82" fillId="0" borderId="159" xfId="0" applyNumberFormat="1" applyFont="1" applyBorder="1"/>
    <xf numFmtId="0" fontId="133" fillId="0" borderId="149" xfId="0" applyFont="1" applyBorder="1" applyAlignment="1">
      <alignment horizontal="left" vertical="center" wrapText="1"/>
    </xf>
    <xf numFmtId="0" fontId="133" fillId="0" borderId="67" xfId="0" applyFont="1" applyBorder="1" applyAlignment="1">
      <alignment horizontal="left" vertical="center" wrapText="1"/>
    </xf>
    <xf numFmtId="0" fontId="133" fillId="0" borderId="54" xfId="0" applyFont="1" applyBorder="1" applyAlignment="1">
      <alignment horizontal="left" vertical="center" wrapText="1"/>
    </xf>
    <xf numFmtId="0" fontId="133" fillId="0" borderId="52" xfId="0" applyFont="1" applyBorder="1" applyAlignment="1">
      <alignment horizontal="left" vertical="center" wrapText="1"/>
    </xf>
    <xf numFmtId="0" fontId="133" fillId="0" borderId="88" xfId="0" applyFont="1" applyBorder="1" applyAlignment="1">
      <alignment horizontal="left" vertical="center" wrapText="1"/>
    </xf>
    <xf numFmtId="49" fontId="18" fillId="3" borderId="0" xfId="0" applyNumberFormat="1" applyFont="1" applyFill="1" applyAlignment="1">
      <alignment vertical="center" wrapText="1"/>
    </xf>
    <xf numFmtId="3" fontId="18" fillId="3" borderId="0" xfId="0" applyNumberFormat="1" applyFont="1" applyFill="1"/>
    <xf numFmtId="0" fontId="18" fillId="3" borderId="0" xfId="0" applyFont="1" applyFill="1" applyAlignment="1">
      <alignment wrapText="1"/>
    </xf>
    <xf numFmtId="1" fontId="18" fillId="3" borderId="0" xfId="0" applyNumberFormat="1" applyFont="1" applyFill="1" applyAlignment="1">
      <alignment wrapText="1"/>
    </xf>
    <xf numFmtId="1" fontId="82" fillId="37" borderId="33" xfId="13" applyNumberFormat="1" applyFont="1" applyFill="1" applyBorder="1"/>
    <xf numFmtId="3" fontId="21" fillId="0" borderId="0" xfId="0" applyNumberFormat="1" applyFont="1"/>
    <xf numFmtId="1" fontId="150" fillId="37" borderId="33" xfId="13" applyNumberFormat="1" applyFont="1" applyFill="1" applyBorder="1"/>
    <xf numFmtId="3" fontId="18" fillId="0" borderId="6" xfId="0" applyNumberFormat="1" applyFont="1" applyBorder="1"/>
    <xf numFmtId="49" fontId="35" fillId="0" borderId="0" xfId="0" applyNumberFormat="1" applyFont="1" applyAlignment="1">
      <alignment vertical="center" wrapText="1"/>
    </xf>
    <xf numFmtId="3" fontId="35" fillId="0" borderId="0" xfId="0" applyNumberFormat="1" applyFont="1"/>
    <xf numFmtId="168" fontId="49" fillId="3" borderId="0" xfId="0" applyNumberFormat="1" applyFont="1" applyFill="1"/>
    <xf numFmtId="172" fontId="128" fillId="0" borderId="33" xfId="0" applyNumberFormat="1" applyFont="1" applyBorder="1" applyAlignment="1">
      <alignment horizontal="center" vertical="center" wrapText="1"/>
    </xf>
    <xf numFmtId="172" fontId="128" fillId="0" borderId="37" xfId="0" applyNumberFormat="1" applyFont="1" applyBorder="1" applyAlignment="1">
      <alignment horizontal="center" vertical="center" wrapText="1"/>
    </xf>
    <xf numFmtId="172" fontId="128" fillId="0" borderId="43" xfId="0" applyNumberFormat="1" applyFont="1" applyBorder="1" applyAlignment="1">
      <alignment horizontal="center" vertical="center"/>
    </xf>
    <xf numFmtId="172" fontId="128" fillId="0" borderId="35" xfId="0" applyNumberFormat="1" applyFont="1" applyBorder="1" applyAlignment="1">
      <alignment horizontal="center" vertical="center" wrapText="1"/>
    </xf>
    <xf numFmtId="183" fontId="103" fillId="0" borderId="194" xfId="0" applyNumberFormat="1" applyFont="1" applyBorder="1"/>
    <xf numFmtId="183" fontId="21" fillId="5" borderId="227" xfId="0" applyNumberFormat="1" applyFont="1" applyFill="1" applyBorder="1"/>
    <xf numFmtId="183" fontId="18" fillId="0" borderId="227" xfId="0" applyNumberFormat="1" applyFont="1" applyBorder="1"/>
    <xf numFmtId="183" fontId="18" fillId="3" borderId="227" xfId="0" applyNumberFormat="1" applyFont="1" applyFill="1" applyBorder="1"/>
    <xf numFmtId="183" fontId="21" fillId="5" borderId="228" xfId="0" applyNumberFormat="1" applyFont="1" applyFill="1" applyBorder="1"/>
    <xf numFmtId="183" fontId="18" fillId="0" borderId="229" xfId="0" applyNumberFormat="1" applyFont="1" applyBorder="1"/>
    <xf numFmtId="2" fontId="87" fillId="3" borderId="33" xfId="0" applyNumberFormat="1" applyFont="1" applyFill="1" applyBorder="1" applyAlignment="1">
      <alignment vertical="center" wrapText="1"/>
    </xf>
    <xf numFmtId="8" fontId="18" fillId="12" borderId="0" xfId="0" applyNumberFormat="1" applyFont="1" applyFill="1"/>
    <xf numFmtId="0" fontId="24" fillId="16" borderId="0" xfId="0" applyFont="1" applyFill="1"/>
    <xf numFmtId="186" fontId="87" fillId="0" borderId="0" xfId="9" applyNumberFormat="1" applyFont="1"/>
    <xf numFmtId="184" fontId="137" fillId="0" borderId="0" xfId="0" applyNumberFormat="1" applyFont="1" applyAlignment="1">
      <alignment horizontal="right" vertical="center"/>
    </xf>
    <xf numFmtId="173" fontId="138" fillId="0" borderId="0" xfId="0" applyNumberFormat="1" applyFont="1" applyAlignment="1">
      <alignment horizontal="right" vertical="center"/>
    </xf>
    <xf numFmtId="173" fontId="138" fillId="0" borderId="207" xfId="0" applyNumberFormat="1" applyFont="1" applyBorder="1" applyAlignment="1">
      <alignment horizontal="right" vertical="center"/>
    </xf>
    <xf numFmtId="173" fontId="138" fillId="0" borderId="0" xfId="0" applyNumberFormat="1" applyFont="1"/>
    <xf numFmtId="173" fontId="138" fillId="0" borderId="214" xfId="0" applyNumberFormat="1" applyFont="1" applyBorder="1"/>
    <xf numFmtId="173" fontId="138" fillId="0" borderId="213" xfId="0" applyNumberFormat="1" applyFont="1" applyBorder="1" applyAlignment="1">
      <alignment vertical="center"/>
    </xf>
    <xf numFmtId="173" fontId="21" fillId="5" borderId="186" xfId="0" applyNumberFormat="1" applyFont="1" applyFill="1" applyBorder="1"/>
    <xf numFmtId="173" fontId="21" fillId="5" borderId="187" xfId="0" applyNumberFormat="1" applyFont="1" applyFill="1" applyBorder="1"/>
    <xf numFmtId="173" fontId="18" fillId="10" borderId="186" xfId="0" applyNumberFormat="1" applyFont="1" applyFill="1" applyBorder="1"/>
    <xf numFmtId="173" fontId="18" fillId="0" borderId="186" xfId="0" applyNumberFormat="1" applyFont="1" applyBorder="1"/>
    <xf numFmtId="173" fontId="107" fillId="16" borderId="183" xfId="0" applyNumberFormat="1" applyFont="1" applyFill="1" applyBorder="1"/>
    <xf numFmtId="173" fontId="107" fillId="16" borderId="184" xfId="0" applyNumberFormat="1" applyFont="1" applyFill="1" applyBorder="1"/>
    <xf numFmtId="173" fontId="107" fillId="16" borderId="183" xfId="3" applyNumberFormat="1" applyFont="1" applyFill="1" applyBorder="1"/>
    <xf numFmtId="173" fontId="107" fillId="16" borderId="184" xfId="3" applyNumberFormat="1" applyFont="1" applyFill="1" applyBorder="1"/>
    <xf numFmtId="173" fontId="24" fillId="16" borderId="186" xfId="3" applyNumberFormat="1" applyFont="1" applyFill="1" applyBorder="1"/>
    <xf numFmtId="173" fontId="24" fillId="16" borderId="187" xfId="3" applyNumberFormat="1" applyFont="1" applyFill="1" applyBorder="1"/>
    <xf numFmtId="173" fontId="21" fillId="5" borderId="186" xfId="3" applyNumberFormat="1" applyFont="1" applyFill="1" applyBorder="1"/>
    <xf numFmtId="173" fontId="21" fillId="5" borderId="187" xfId="3" applyNumberFormat="1" applyFont="1" applyFill="1" applyBorder="1"/>
    <xf numFmtId="173" fontId="18" fillId="0" borderId="186" xfId="3" applyNumberFormat="1" applyFont="1" applyBorder="1"/>
    <xf numFmtId="173" fontId="18" fillId="10" borderId="186" xfId="3" applyNumberFormat="1" applyFont="1" applyFill="1" applyBorder="1"/>
    <xf numFmtId="173" fontId="32" fillId="5" borderId="187" xfId="3" applyNumberFormat="1" applyFont="1" applyFill="1" applyBorder="1"/>
    <xf numFmtId="173" fontId="18" fillId="0" borderId="189" xfId="3" applyNumberFormat="1" applyFont="1" applyBorder="1"/>
    <xf numFmtId="173" fontId="32" fillId="5" borderId="190" xfId="3" applyNumberFormat="1" applyFont="1" applyFill="1" applyBorder="1"/>
    <xf numFmtId="173" fontId="24" fillId="16" borderId="186" xfId="0" applyNumberFormat="1" applyFont="1" applyFill="1" applyBorder="1"/>
    <xf numFmtId="173" fontId="24" fillId="16" borderId="187" xfId="0" applyNumberFormat="1" applyFont="1" applyFill="1" applyBorder="1"/>
    <xf numFmtId="173" fontId="32" fillId="5" borderId="187" xfId="0" applyNumberFormat="1" applyFont="1" applyFill="1" applyBorder="1"/>
    <xf numFmtId="173" fontId="18" fillId="0" borderId="189" xfId="0" applyNumberFormat="1" applyFont="1" applyBorder="1"/>
    <xf numFmtId="173" fontId="32" fillId="5" borderId="190" xfId="0" applyNumberFormat="1" applyFont="1" applyFill="1" applyBorder="1"/>
    <xf numFmtId="0" fontId="138" fillId="5" borderId="0" xfId="0" applyFont="1" applyFill="1"/>
    <xf numFmtId="168" fontId="87" fillId="0" borderId="0" xfId="0" applyNumberFormat="1" applyFont="1" applyAlignment="1">
      <alignment horizontal="right" vertical="center" wrapText="1"/>
    </xf>
    <xf numFmtId="168" fontId="87" fillId="0" borderId="0" xfId="0" applyNumberFormat="1" applyFont="1" applyAlignment="1">
      <alignment horizontal="right" vertical="center"/>
    </xf>
    <xf numFmtId="168" fontId="87" fillId="0" borderId="0" xfId="0" applyNumberFormat="1" applyFont="1" applyAlignment="1">
      <alignment horizontal="right"/>
    </xf>
    <xf numFmtId="3" fontId="87" fillId="0" borderId="0" xfId="0" applyNumberFormat="1" applyFont="1"/>
    <xf numFmtId="3" fontId="18" fillId="5" borderId="0" xfId="0" applyNumberFormat="1" applyFont="1" applyFill="1"/>
    <xf numFmtId="3" fontId="82" fillId="0" borderId="31" xfId="13" applyNumberFormat="1" applyFont="1" applyBorder="1" applyAlignment="1">
      <alignment horizontal="center"/>
    </xf>
    <xf numFmtId="3" fontId="112" fillId="0" borderId="0" xfId="13" applyNumberFormat="1" applyFont="1"/>
    <xf numFmtId="3" fontId="133" fillId="0" borderId="0" xfId="13" applyNumberFormat="1" applyFont="1"/>
    <xf numFmtId="0" fontId="151" fillId="0" borderId="46" xfId="0" applyFont="1" applyBorder="1" applyAlignment="1">
      <alignment vertical="center" wrapText="1"/>
    </xf>
    <xf numFmtId="2" fontId="151" fillId="0" borderId="32" xfId="0" applyNumberFormat="1" applyFont="1" applyBorder="1" applyAlignment="1">
      <alignment horizontal="right" vertical="center" wrapText="1"/>
    </xf>
    <xf numFmtId="2" fontId="151" fillId="0" borderId="40" xfId="0" applyNumberFormat="1" applyFont="1" applyBorder="1" applyAlignment="1">
      <alignment horizontal="right" vertical="center" wrapText="1"/>
    </xf>
    <xf numFmtId="9" fontId="48" fillId="0" borderId="0" xfId="9" applyFont="1"/>
    <xf numFmtId="0" fontId="87" fillId="3" borderId="46" xfId="0" applyFont="1" applyFill="1" applyBorder="1" applyAlignment="1">
      <alignment vertical="center" wrapText="1"/>
    </xf>
    <xf numFmtId="0" fontId="87" fillId="3" borderId="47" xfId="0" applyFont="1" applyFill="1" applyBorder="1" applyAlignment="1">
      <alignment vertical="center" wrapText="1"/>
    </xf>
    <xf numFmtId="173" fontId="138" fillId="0" borderId="0" xfId="0" applyNumberFormat="1" applyFont="1" applyAlignment="1">
      <alignment horizontal="right"/>
    </xf>
    <xf numFmtId="173" fontId="137" fillId="0" borderId="0" xfId="0" applyNumberFormat="1" applyFont="1" applyAlignment="1">
      <alignment horizontal="right"/>
    </xf>
    <xf numFmtId="173" fontId="18" fillId="0" borderId="186" xfId="3" applyNumberFormat="1" applyFont="1" applyFill="1" applyBorder="1"/>
    <xf numFmtId="165" fontId="99" fillId="0" borderId="0" xfId="3" applyFont="1"/>
    <xf numFmtId="0" fontId="153" fillId="34" borderId="0" xfId="0" applyFont="1" applyFill="1" applyAlignment="1">
      <alignment vertical="center"/>
    </xf>
    <xf numFmtId="0" fontId="153" fillId="34" borderId="0" xfId="0" applyFont="1" applyFill="1" applyAlignment="1">
      <alignment horizontal="center" vertical="center"/>
    </xf>
    <xf numFmtId="0" fontId="154" fillId="38" borderId="0" xfId="0" applyFont="1" applyFill="1" applyAlignment="1">
      <alignment vertical="center"/>
    </xf>
    <xf numFmtId="0" fontId="153" fillId="38" borderId="0" xfId="0" applyFont="1" applyFill="1" applyAlignment="1">
      <alignment horizontal="right" vertical="center" wrapText="1"/>
    </xf>
    <xf numFmtId="0" fontId="152" fillId="0" borderId="0" xfId="0" applyFont="1" applyAlignment="1">
      <alignment vertical="center" wrapText="1"/>
    </xf>
    <xf numFmtId="0" fontId="155" fillId="0" borderId="0" xfId="0" applyFont="1" applyAlignment="1">
      <alignment vertical="center"/>
    </xf>
    <xf numFmtId="0" fontId="155" fillId="0" borderId="0" xfId="0" applyFont="1" applyAlignment="1">
      <alignment horizontal="center" vertical="center" wrapText="1"/>
    </xf>
    <xf numFmtId="0" fontId="155" fillId="0" borderId="231" xfId="0" applyFont="1" applyBorder="1" applyAlignment="1">
      <alignment vertical="center"/>
    </xf>
    <xf numFmtId="0" fontId="155" fillId="0" borderId="231" xfId="0" applyFont="1" applyBorder="1" applyAlignment="1">
      <alignment horizontal="center" vertical="center" wrapText="1"/>
    </xf>
    <xf numFmtId="0" fontId="155" fillId="38" borderId="0" xfId="0" applyFont="1" applyFill="1" applyAlignment="1">
      <alignment horizontal="right" vertical="center" wrapText="1"/>
    </xf>
    <xf numFmtId="0" fontId="155" fillId="0" borderId="0" xfId="0" applyFont="1" applyAlignment="1">
      <alignment vertical="center" wrapText="1"/>
    </xf>
    <xf numFmtId="0" fontId="155" fillId="38" borderId="0" xfId="0" applyFont="1" applyFill="1" applyAlignment="1">
      <alignment horizontal="center" vertical="center" wrapText="1"/>
    </xf>
    <xf numFmtId="0" fontId="155" fillId="0" borderId="16" xfId="0" applyFont="1" applyBorder="1" applyAlignment="1">
      <alignment vertical="center"/>
    </xf>
    <xf numFmtId="0" fontId="155" fillId="0" borderId="16" xfId="0" applyFont="1" applyBorder="1" applyAlignment="1">
      <alignment horizontal="center" vertical="center" wrapText="1"/>
    </xf>
    <xf numFmtId="0" fontId="158" fillId="38" borderId="0" xfId="0" applyFont="1" applyFill="1" applyAlignment="1">
      <alignment horizontal="center" vertical="center" wrapText="1"/>
    </xf>
    <xf numFmtId="0" fontId="157" fillId="0" borderId="232" xfId="0" applyFont="1" applyBorder="1" applyAlignment="1">
      <alignment vertical="center"/>
    </xf>
    <xf numFmtId="0" fontId="157" fillId="0" borderId="232" xfId="0" applyFont="1" applyBorder="1" applyAlignment="1">
      <alignment horizontal="center" vertical="center" wrapText="1"/>
    </xf>
    <xf numFmtId="0" fontId="156" fillId="0" borderId="0" xfId="0" applyFont="1" applyAlignment="1">
      <alignment vertical="center"/>
    </xf>
    <xf numFmtId="0" fontId="155" fillId="38" borderId="233" xfId="0" applyFont="1" applyFill="1" applyBorder="1" applyAlignment="1">
      <alignment horizontal="center" vertical="center" wrapText="1"/>
    </xf>
    <xf numFmtId="0" fontId="155" fillId="38" borderId="12" xfId="0" applyFont="1" applyFill="1" applyBorder="1" applyAlignment="1">
      <alignment horizontal="center" vertical="center" wrapText="1"/>
    </xf>
    <xf numFmtId="0" fontId="158" fillId="38" borderId="234" xfId="0" applyFont="1" applyFill="1" applyBorder="1" applyAlignment="1">
      <alignment horizontal="center" vertical="center" wrapText="1"/>
    </xf>
    <xf numFmtId="168" fontId="18" fillId="0" borderId="227" xfId="0" applyNumberFormat="1" applyFont="1" applyBorder="1"/>
    <xf numFmtId="0" fontId="18" fillId="0" borderId="227" xfId="0" applyFont="1" applyBorder="1"/>
    <xf numFmtId="168" fontId="18" fillId="3" borderId="227" xfId="0" applyNumberFormat="1" applyFont="1" applyFill="1" applyBorder="1"/>
    <xf numFmtId="168" fontId="21" fillId="5" borderId="228" xfId="0" applyNumberFormat="1" applyFont="1" applyFill="1" applyBorder="1"/>
    <xf numFmtId="168" fontId="18" fillId="0" borderId="229" xfId="0" applyNumberFormat="1" applyFont="1" applyBorder="1"/>
    <xf numFmtId="0" fontId="18" fillId="0" borderId="96" xfId="0" applyFont="1" applyBorder="1"/>
    <xf numFmtId="0" fontId="0" fillId="0" borderId="54" xfId="0" applyBorder="1"/>
    <xf numFmtId="0" fontId="18" fillId="0" borderId="41" xfId="0" applyFont="1" applyBorder="1"/>
    <xf numFmtId="173" fontId="18" fillId="0" borderId="0" xfId="3" applyNumberFormat="1" applyFont="1" applyBorder="1"/>
    <xf numFmtId="173" fontId="32" fillId="5" borderId="0" xfId="3" applyNumberFormat="1" applyFont="1" applyFill="1" applyBorder="1"/>
    <xf numFmtId="183" fontId="18" fillId="0" borderId="0" xfId="0" applyNumberFormat="1" applyFont="1"/>
    <xf numFmtId="168" fontId="160" fillId="0" borderId="193" xfId="0" applyNumberFormat="1" applyFont="1" applyBorder="1"/>
    <xf numFmtId="168" fontId="161" fillId="5" borderId="185" xfId="0" applyNumberFormat="1" applyFont="1" applyFill="1" applyBorder="1"/>
    <xf numFmtId="168" fontId="162" fillId="0" borderId="193" xfId="0" applyNumberFormat="1" applyFont="1" applyBorder="1"/>
    <xf numFmtId="168" fontId="163" fillId="5" borderId="185" xfId="0" applyNumberFormat="1" applyFont="1" applyFill="1" applyBorder="1"/>
    <xf numFmtId="173" fontId="103" fillId="0" borderId="194" xfId="0" applyNumberFormat="1" applyFont="1" applyBorder="1"/>
    <xf numFmtId="173" fontId="21" fillId="5" borderId="227" xfId="0" applyNumberFormat="1" applyFont="1" applyFill="1" applyBorder="1"/>
    <xf numFmtId="173" fontId="18" fillId="0" borderId="227" xfId="0" applyNumberFormat="1" applyFont="1" applyBorder="1"/>
    <xf numFmtId="173" fontId="18" fillId="3" borderId="227" xfId="0" applyNumberFormat="1" applyFont="1" applyFill="1" applyBorder="1"/>
    <xf numFmtId="173" fontId="21" fillId="5" borderId="228" xfId="0" applyNumberFormat="1" applyFont="1" applyFill="1" applyBorder="1"/>
    <xf numFmtId="173" fontId="18" fillId="0" borderId="229" xfId="0" applyNumberFormat="1" applyFont="1" applyBorder="1"/>
    <xf numFmtId="173" fontId="18" fillId="10" borderId="227" xfId="0" applyNumberFormat="1" applyFont="1" applyFill="1" applyBorder="1"/>
    <xf numFmtId="3" fontId="138" fillId="0" borderId="0" xfId="0" applyNumberFormat="1" applyFont="1"/>
    <xf numFmtId="173" fontId="137" fillId="22" borderId="0" xfId="0" applyNumberFormat="1" applyFont="1" applyFill="1"/>
    <xf numFmtId="9" fontId="138" fillId="0" borderId="0" xfId="9" applyFont="1"/>
    <xf numFmtId="8" fontId="87" fillId="0" borderId="0" xfId="0" applyNumberFormat="1" applyFont="1"/>
    <xf numFmtId="168" fontId="87" fillId="3" borderId="0" xfId="0" applyNumberFormat="1" applyFont="1" applyFill="1"/>
    <xf numFmtId="10" fontId="138" fillId="0" borderId="0" xfId="9" applyNumberFormat="1" applyFont="1"/>
    <xf numFmtId="168" fontId="87" fillId="0" borderId="218" xfId="0" applyNumberFormat="1" applyFont="1" applyBorder="1" applyAlignment="1"/>
    <xf numFmtId="0" fontId="146" fillId="34" borderId="0" xfId="0" applyFont="1" applyFill="1" applyAlignment="1">
      <alignment horizontal="center" vertical="center"/>
    </xf>
    <xf numFmtId="0" fontId="146" fillId="34" borderId="212" xfId="0" applyFont="1" applyFill="1" applyBorder="1" applyAlignment="1">
      <alignment horizontal="center" vertical="center"/>
    </xf>
    <xf numFmtId="0" fontId="146" fillId="34" borderId="211" xfId="0" applyFont="1" applyFill="1" applyBorder="1" applyAlignment="1">
      <alignment horizontal="center" vertical="center"/>
    </xf>
    <xf numFmtId="0" fontId="18" fillId="0" borderId="46" xfId="0" applyFont="1" applyBorder="1" applyAlignment="1">
      <alignment horizontal="center" vertical="center" wrapText="1"/>
    </xf>
    <xf numFmtId="0" fontId="18" fillId="0" borderId="124" xfId="0" applyFont="1" applyBorder="1" applyAlignment="1">
      <alignment horizontal="center" vertical="center"/>
    </xf>
    <xf numFmtId="0" fontId="63" fillId="0" borderId="0" xfId="0" applyFont="1" applyAlignment="1">
      <alignment horizontal="left" vertical="top" wrapText="1"/>
    </xf>
    <xf numFmtId="0" fontId="62" fillId="0" borderId="0" xfId="0" applyFont="1" applyAlignment="1">
      <alignment horizontal="left" vertical="top" wrapText="1"/>
    </xf>
    <xf numFmtId="0" fontId="21" fillId="0" borderId="22" xfId="0" applyFont="1" applyBorder="1" applyAlignment="1">
      <alignment horizontal="center" vertical="center"/>
    </xf>
    <xf numFmtId="0" fontId="21" fillId="0" borderId="17" xfId="0" applyFont="1" applyBorder="1" applyAlignment="1">
      <alignment horizontal="center" vertical="center"/>
    </xf>
    <xf numFmtId="0" fontId="21" fillId="0" borderId="8" xfId="0" applyFont="1" applyBorder="1" applyAlignment="1">
      <alignment horizontal="center" vertical="center"/>
    </xf>
    <xf numFmtId="0" fontId="21" fillId="0" borderId="90" xfId="0" applyFont="1" applyBorder="1" applyAlignment="1">
      <alignment horizontal="center" vertical="center"/>
    </xf>
    <xf numFmtId="0" fontId="21" fillId="0" borderId="10" xfId="0" applyFont="1" applyBorder="1" applyAlignment="1">
      <alignment horizontal="center" vertical="center"/>
    </xf>
    <xf numFmtId="0" fontId="21" fillId="0" borderId="21" xfId="0" applyFont="1" applyBorder="1" applyAlignment="1">
      <alignment horizontal="center" vertical="center"/>
    </xf>
    <xf numFmtId="0" fontId="18" fillId="15" borderId="0" xfId="0" applyFont="1" applyFill="1" applyAlignment="1">
      <alignment horizontal="center"/>
    </xf>
    <xf numFmtId="0" fontId="60" fillId="0" borderId="0" xfId="0" applyFont="1" applyAlignment="1">
      <alignment horizontal="left" vertical="top" wrapText="1"/>
    </xf>
    <xf numFmtId="0" fontId="61" fillId="0" borderId="0" xfId="0" applyFont="1" applyAlignment="1">
      <alignment horizontal="left" vertical="top" wrapText="1"/>
    </xf>
    <xf numFmtId="0" fontId="136" fillId="0" borderId="1" xfId="0" applyFont="1" applyBorder="1" applyAlignment="1">
      <alignment horizontal="center"/>
    </xf>
    <xf numFmtId="0" fontId="136" fillId="0" borderId="3" xfId="0" applyFont="1" applyBorder="1" applyAlignment="1">
      <alignment horizontal="center"/>
    </xf>
    <xf numFmtId="0" fontId="136" fillId="23" borderId="1" xfId="0" applyFont="1" applyFill="1" applyBorder="1" applyAlignment="1">
      <alignment horizontal="center"/>
    </xf>
    <xf numFmtId="0" fontId="136" fillId="23" borderId="6" xfId="0" applyFont="1" applyFill="1" applyBorder="1" applyAlignment="1">
      <alignment horizontal="center"/>
    </xf>
    <xf numFmtId="0" fontId="136" fillId="23" borderId="2" xfId="0" applyFont="1" applyFill="1" applyBorder="1" applyAlignment="1">
      <alignment horizontal="center"/>
    </xf>
    <xf numFmtId="0" fontId="136" fillId="23" borderId="3" xfId="0" applyFont="1" applyFill="1" applyBorder="1" applyAlignment="1">
      <alignment horizontal="center"/>
    </xf>
    <xf numFmtId="0" fontId="135" fillId="0" borderId="17" xfId="0" applyFont="1" applyBorder="1" applyAlignment="1">
      <alignment horizontal="center" vertical="center"/>
    </xf>
    <xf numFmtId="0" fontId="135" fillId="0" borderId="0" xfId="0" applyFont="1" applyAlignment="1">
      <alignment horizontal="center" vertical="center"/>
    </xf>
    <xf numFmtId="0" fontId="136" fillId="0" borderId="4" xfId="0" applyFont="1" applyBorder="1" applyAlignment="1">
      <alignment horizontal="center" vertical="center"/>
    </xf>
    <xf numFmtId="0" fontId="136" fillId="0" borderId="6" xfId="0" applyFont="1" applyBorder="1" applyAlignment="1">
      <alignment horizontal="center" vertical="center"/>
    </xf>
    <xf numFmtId="0" fontId="133" fillId="0" borderId="40" xfId="0" applyFont="1" applyBorder="1" applyAlignment="1">
      <alignment horizontal="left" vertical="center" wrapText="1"/>
    </xf>
    <xf numFmtId="0" fontId="133" fillId="0" borderId="33" xfId="0" applyFont="1" applyBorder="1" applyAlignment="1">
      <alignment horizontal="left" vertical="center" wrapText="1"/>
    </xf>
    <xf numFmtId="0" fontId="133" fillId="0" borderId="77" xfId="0" applyFont="1" applyBorder="1" applyAlignment="1">
      <alignment horizontal="left" vertical="center" wrapText="1"/>
    </xf>
    <xf numFmtId="0" fontId="133" fillId="0" borderId="54" xfId="0" applyFont="1" applyBorder="1" applyAlignment="1">
      <alignment horizontal="left" vertical="center" wrapText="1"/>
    </xf>
    <xf numFmtId="0" fontId="133" fillId="0" borderId="52" xfId="0" applyFont="1" applyBorder="1" applyAlignment="1">
      <alignment horizontal="left" vertical="center" wrapText="1"/>
    </xf>
    <xf numFmtId="0" fontId="133" fillId="0" borderId="88" xfId="0" applyFont="1" applyBorder="1" applyAlignment="1">
      <alignment horizontal="left" vertical="center" wrapText="1"/>
    </xf>
    <xf numFmtId="0" fontId="133" fillId="0" borderId="147" xfId="0" applyFont="1" applyBorder="1" applyAlignment="1">
      <alignment horizontal="left" vertical="center" wrapText="1"/>
    </xf>
    <xf numFmtId="0" fontId="133" fillId="0" borderId="34" xfId="0" applyFont="1" applyBorder="1" applyAlignment="1">
      <alignment horizontal="left" vertical="center" wrapText="1"/>
    </xf>
    <xf numFmtId="0" fontId="49" fillId="0" borderId="130" xfId="13" applyFont="1" applyBorder="1" applyAlignment="1">
      <alignment horizontal="center"/>
    </xf>
    <xf numFmtId="0" fontId="82" fillId="0" borderId="100" xfId="13" applyFont="1" applyBorder="1" applyAlignment="1">
      <alignment horizontal="center"/>
    </xf>
    <xf numFmtId="0" fontId="82" fillId="0" borderId="205" xfId="13" applyFont="1" applyBorder="1" applyAlignment="1">
      <alignment horizontal="center"/>
    </xf>
    <xf numFmtId="0" fontId="49" fillId="0" borderId="23" xfId="13" applyFont="1" applyBorder="1" applyAlignment="1">
      <alignment horizontal="center"/>
    </xf>
    <xf numFmtId="0" fontId="49" fillId="0" borderId="55" xfId="0" applyFont="1" applyBorder="1" applyAlignment="1">
      <alignment horizontal="center" vertical="center" wrapText="1"/>
    </xf>
    <xf numFmtId="0" fontId="49" fillId="0" borderId="39" xfId="0" applyFont="1" applyBorder="1" applyAlignment="1">
      <alignment horizontal="center" vertical="center" wrapText="1"/>
    </xf>
    <xf numFmtId="0" fontId="49" fillId="0" borderId="55" xfId="0" applyFont="1" applyBorder="1" applyAlignment="1">
      <alignment horizontal="center" wrapText="1"/>
    </xf>
    <xf numFmtId="0" fontId="49" fillId="0" borderId="39" xfId="0" applyFont="1" applyBorder="1" applyAlignment="1">
      <alignment horizontal="center" wrapText="1"/>
    </xf>
    <xf numFmtId="0" fontId="49" fillId="0" borderId="60" xfId="0" applyFont="1" applyBorder="1" applyAlignment="1">
      <alignment horizontal="center" wrapText="1"/>
    </xf>
    <xf numFmtId="0" fontId="133" fillId="0" borderId="148" xfId="0" applyFont="1" applyBorder="1" applyAlignment="1">
      <alignment horizontal="left" vertical="center" wrapText="1"/>
    </xf>
    <xf numFmtId="0" fontId="133" fillId="0" borderId="87" xfId="0" applyFont="1" applyBorder="1" applyAlignment="1">
      <alignment horizontal="left" vertical="center" wrapText="1"/>
    </xf>
    <xf numFmtId="0" fontId="133" fillId="0" borderId="86" xfId="0" applyFont="1" applyBorder="1" applyAlignment="1">
      <alignment horizontal="left" vertical="center" wrapText="1"/>
    </xf>
    <xf numFmtId="0" fontId="133" fillId="0" borderId="45" xfId="0" applyFont="1" applyBorder="1" applyAlignment="1">
      <alignment horizontal="left" vertical="center" wrapText="1"/>
    </xf>
    <xf numFmtId="0" fontId="133" fillId="0" borderId="80" xfId="0" applyFont="1" applyBorder="1" applyAlignment="1">
      <alignment horizontal="left" vertical="center" wrapText="1"/>
    </xf>
    <xf numFmtId="0" fontId="133" fillId="0" borderId="46" xfId="0" applyFont="1" applyBorder="1" applyAlignment="1">
      <alignment horizontal="left" vertical="center" wrapText="1"/>
    </xf>
    <xf numFmtId="0" fontId="133" fillId="0" borderId="124" xfId="0" applyFont="1" applyBorder="1" applyAlignment="1">
      <alignment horizontal="left" vertical="center" wrapText="1"/>
    </xf>
    <xf numFmtId="0" fontId="114" fillId="0" borderId="220" xfId="0" applyFont="1" applyBorder="1" applyAlignment="1">
      <alignment horizontal="center"/>
    </xf>
    <xf numFmtId="0" fontId="114" fillId="0" borderId="75" xfId="0" applyFont="1" applyBorder="1" applyAlignment="1">
      <alignment horizontal="center"/>
    </xf>
    <xf numFmtId="0" fontId="114" fillId="0" borderId="76" xfId="0" applyFont="1" applyBorder="1" applyAlignment="1">
      <alignment horizontal="center"/>
    </xf>
    <xf numFmtId="0" fontId="133" fillId="0" borderId="123" xfId="0" applyFont="1" applyBorder="1" applyAlignment="1">
      <alignment horizontal="left" vertical="center" wrapText="1"/>
    </xf>
    <xf numFmtId="0" fontId="133" fillId="0" borderId="112" xfId="0" applyFont="1" applyBorder="1" applyAlignment="1">
      <alignment horizontal="left" vertical="center" wrapText="1"/>
    </xf>
    <xf numFmtId="0" fontId="133" fillId="0" borderId="159" xfId="0" applyFont="1" applyBorder="1" applyAlignment="1">
      <alignment horizontal="left" vertical="center" wrapText="1"/>
    </xf>
    <xf numFmtId="0" fontId="133" fillId="0" borderId="149" xfId="0" applyFont="1" applyBorder="1" applyAlignment="1">
      <alignment horizontal="left" vertical="center" wrapText="1"/>
    </xf>
    <xf numFmtId="0" fontId="133" fillId="0" borderId="67" xfId="0" applyFont="1" applyBorder="1" applyAlignment="1">
      <alignment horizontal="left" vertical="center" wrapText="1"/>
    </xf>
    <xf numFmtId="168" fontId="100" fillId="0" borderId="0" xfId="0" applyNumberFormat="1" applyFont="1" applyAlignment="1">
      <alignment horizontal="center"/>
    </xf>
    <xf numFmtId="168" fontId="100" fillId="0" borderId="16" xfId="0" applyNumberFormat="1" applyFont="1" applyBorder="1" applyAlignment="1">
      <alignment horizontal="center"/>
    </xf>
    <xf numFmtId="0" fontId="99" fillId="17" borderId="4" xfId="15" applyFont="1" applyFill="1" applyBorder="1" applyAlignment="1">
      <alignment horizontal="left" vertical="center"/>
    </xf>
    <xf numFmtId="0" fontId="99" fillId="17" borderId="7" xfId="15" applyFont="1" applyFill="1" applyBorder="1" applyAlignment="1">
      <alignment horizontal="left" vertical="center"/>
    </xf>
    <xf numFmtId="0" fontId="112" fillId="9" borderId="205" xfId="13" applyFont="1" applyFill="1" applyBorder="1" applyAlignment="1">
      <alignment horizontal="center"/>
    </xf>
    <xf numFmtId="3" fontId="112" fillId="0" borderId="39" xfId="13" applyNumberFormat="1" applyFont="1" applyBorder="1" applyAlignment="1">
      <alignment horizontal="center" vertical="center" wrapText="1"/>
    </xf>
    <xf numFmtId="3" fontId="112" fillId="0" borderId="40" xfId="13" applyNumberFormat="1" applyFont="1" applyBorder="1" applyAlignment="1">
      <alignment horizontal="center" vertical="center" wrapText="1"/>
    </xf>
    <xf numFmtId="3" fontId="112" fillId="0" borderId="41" xfId="13" applyNumberFormat="1" applyFont="1" applyBorder="1" applyAlignment="1">
      <alignment horizontal="center" vertical="center" wrapText="1"/>
    </xf>
    <xf numFmtId="3" fontId="112" fillId="0" borderId="25" xfId="13" applyNumberFormat="1" applyFont="1" applyBorder="1" applyAlignment="1">
      <alignment horizontal="center" vertical="center" wrapText="1"/>
    </xf>
    <xf numFmtId="3" fontId="112" fillId="0" borderId="32" xfId="13" applyNumberFormat="1" applyFont="1" applyBorder="1" applyAlignment="1">
      <alignment horizontal="center" vertical="center" wrapText="1"/>
    </xf>
    <xf numFmtId="3" fontId="112" fillId="27" borderId="39" xfId="13" applyNumberFormat="1" applyFont="1" applyFill="1" applyBorder="1" applyAlignment="1">
      <alignment horizontal="center" vertical="center" wrapText="1"/>
    </xf>
    <xf numFmtId="3" fontId="112" fillId="27" borderId="40" xfId="13" applyNumberFormat="1" applyFont="1" applyFill="1" applyBorder="1" applyAlignment="1">
      <alignment horizontal="center" vertical="center" wrapText="1"/>
    </xf>
    <xf numFmtId="3" fontId="112" fillId="27" borderId="41" xfId="13" applyNumberFormat="1" applyFont="1" applyFill="1" applyBorder="1" applyAlignment="1">
      <alignment horizontal="center" vertical="center" wrapText="1"/>
    </xf>
    <xf numFmtId="3" fontId="112" fillId="0" borderId="27" xfId="13" applyNumberFormat="1" applyFont="1" applyBorder="1" applyAlignment="1">
      <alignment horizontal="center" vertical="center" wrapText="1"/>
    </xf>
    <xf numFmtId="0" fontId="112" fillId="9" borderId="100" xfId="13" applyFont="1" applyFill="1" applyBorder="1" applyAlignment="1">
      <alignment horizontal="center"/>
    </xf>
    <xf numFmtId="0" fontId="55" fillId="15" borderId="1" xfId="0" applyFont="1" applyFill="1" applyBorder="1" applyAlignment="1">
      <alignment horizontal="left"/>
    </xf>
    <xf numFmtId="0" fontId="55" fillId="15" borderId="2" xfId="0" applyFont="1" applyFill="1" applyBorder="1" applyAlignment="1">
      <alignment horizontal="left"/>
    </xf>
    <xf numFmtId="0" fontId="55" fillId="15" borderId="3" xfId="0" applyFont="1" applyFill="1" applyBorder="1" applyAlignment="1">
      <alignment horizontal="left"/>
    </xf>
    <xf numFmtId="173" fontId="0" fillId="15" borderId="1" xfId="0" applyNumberFormat="1" applyFill="1" applyBorder="1" applyAlignment="1">
      <alignment horizontal="center"/>
    </xf>
    <xf numFmtId="173" fontId="0" fillId="15" borderId="2" xfId="0" applyNumberFormat="1" applyFill="1" applyBorder="1" applyAlignment="1">
      <alignment horizontal="center"/>
    </xf>
    <xf numFmtId="173" fontId="0" fillId="15" borderId="3" xfId="0" applyNumberFormat="1" applyFill="1" applyBorder="1" applyAlignment="1">
      <alignment horizontal="center"/>
    </xf>
    <xf numFmtId="0" fontId="3" fillId="4" borderId="4" xfId="0" applyFont="1" applyFill="1" applyBorder="1" applyAlignment="1">
      <alignment horizontal="center" vertical="center"/>
    </xf>
    <xf numFmtId="0" fontId="3" fillId="4" borderId="7" xfId="0" applyFont="1" applyFill="1" applyBorder="1" applyAlignment="1">
      <alignment horizontal="center" vertical="center"/>
    </xf>
    <xf numFmtId="173" fontId="0" fillId="30" borderId="1" xfId="0" applyNumberFormat="1" applyFill="1" applyBorder="1" applyAlignment="1">
      <alignment horizontal="center" vertical="center"/>
    </xf>
    <xf numFmtId="173" fontId="0" fillId="30" borderId="2" xfId="0" applyNumberFormat="1" applyFill="1" applyBorder="1" applyAlignment="1">
      <alignment horizontal="center" vertical="center"/>
    </xf>
    <xf numFmtId="173" fontId="0" fillId="30" borderId="3" xfId="0" applyNumberFormat="1" applyFill="1" applyBorder="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xf>
    <xf numFmtId="0" fontId="0" fillId="0" borderId="5" xfId="0" applyBorder="1" applyAlignment="1">
      <alignment horizontal="center" vertical="center"/>
    </xf>
    <xf numFmtId="173" fontId="0" fillId="29" borderId="1" xfId="0" applyNumberFormat="1" applyFill="1" applyBorder="1" applyAlignment="1">
      <alignment horizontal="center" vertical="center"/>
    </xf>
    <xf numFmtId="173" fontId="0" fillId="29" borderId="2" xfId="0" applyNumberFormat="1" applyFill="1" applyBorder="1" applyAlignment="1">
      <alignment horizontal="center" vertical="center"/>
    </xf>
    <xf numFmtId="173" fontId="0" fillId="29" borderId="3" xfId="0" applyNumberFormat="1" applyFill="1" applyBorder="1" applyAlignment="1">
      <alignment horizontal="center" vertical="center"/>
    </xf>
    <xf numFmtId="0" fontId="0" fillId="4" borderId="0" xfId="0" applyFill="1" applyAlignment="1">
      <alignment horizontal="center" vertical="center"/>
    </xf>
    <xf numFmtId="0" fontId="101" fillId="28" borderId="7" xfId="0" applyFont="1" applyFill="1" applyBorder="1" applyAlignment="1">
      <alignment horizontal="center" vertical="center"/>
    </xf>
    <xf numFmtId="0" fontId="0" fillId="28" borderId="6" xfId="0" applyFill="1" applyBorder="1" applyAlignment="1">
      <alignment horizontal="center"/>
    </xf>
    <xf numFmtId="0" fontId="0" fillId="31" borderId="1" xfId="0" applyFill="1" applyBorder="1" applyAlignment="1">
      <alignment horizontal="left" vertical="center"/>
    </xf>
    <xf numFmtId="0" fontId="0" fillId="31" borderId="2" xfId="0" applyFill="1" applyBorder="1" applyAlignment="1">
      <alignment horizontal="left" vertical="center"/>
    </xf>
    <xf numFmtId="0" fontId="0" fillId="31" borderId="3" xfId="0" applyFill="1" applyBorder="1" applyAlignment="1">
      <alignment horizontal="left" vertical="center"/>
    </xf>
    <xf numFmtId="0" fontId="96" fillId="21" borderId="166" xfId="0" applyFont="1" applyFill="1" applyBorder="1" applyAlignment="1">
      <alignment horizontal="left"/>
    </xf>
    <xf numFmtId="0" fontId="96" fillId="21" borderId="82" xfId="0" applyFont="1" applyFill="1" applyBorder="1" applyAlignment="1">
      <alignment horizontal="left"/>
    </xf>
    <xf numFmtId="0" fontId="96" fillId="21" borderId="167" xfId="0" applyFont="1" applyFill="1" applyBorder="1" applyAlignment="1">
      <alignment horizontal="left"/>
    </xf>
    <xf numFmtId="0" fontId="96" fillId="21" borderId="164" xfId="0" applyFont="1" applyFill="1" applyBorder="1" applyAlignment="1">
      <alignment horizontal="left"/>
    </xf>
    <xf numFmtId="0" fontId="95" fillId="21" borderId="166" xfId="0" applyFont="1" applyFill="1" applyBorder="1" applyAlignment="1">
      <alignment horizontal="left"/>
    </xf>
    <xf numFmtId="0" fontId="95" fillId="21" borderId="167" xfId="0" applyFont="1" applyFill="1" applyBorder="1" applyAlignment="1">
      <alignment horizontal="left"/>
    </xf>
    <xf numFmtId="0" fontId="95" fillId="21" borderId="164" xfId="0" applyFont="1" applyFill="1" applyBorder="1" applyAlignment="1">
      <alignment horizontal="left"/>
    </xf>
    <xf numFmtId="0" fontId="33" fillId="0" borderId="1" xfId="5" applyFont="1" applyBorder="1" applyAlignment="1">
      <alignment horizontal="left"/>
    </xf>
    <xf numFmtId="0" fontId="33" fillId="0" borderId="2" xfId="5" applyFont="1" applyBorder="1" applyAlignment="1">
      <alignment horizontal="left"/>
    </xf>
    <xf numFmtId="0" fontId="33" fillId="0" borderId="3" xfId="5" applyFont="1" applyBorder="1" applyAlignment="1">
      <alignment horizontal="left"/>
    </xf>
    <xf numFmtId="0" fontId="33" fillId="0" borderId="6" xfId="5" applyFont="1" applyBorder="1" applyAlignment="1">
      <alignment horizontal="left"/>
    </xf>
    <xf numFmtId="0" fontId="34" fillId="0" borderId="1" xfId="5" applyFont="1" applyBorder="1" applyAlignment="1">
      <alignment horizontal="left" vertical="top" wrapText="1"/>
    </xf>
    <xf numFmtId="0" fontId="34" fillId="0" borderId="2" xfId="5" applyFont="1" applyBorder="1" applyAlignment="1">
      <alignment horizontal="left" vertical="top" wrapText="1"/>
    </xf>
    <xf numFmtId="0" fontId="34" fillId="0" borderId="3" xfId="5" applyFont="1" applyBorder="1" applyAlignment="1">
      <alignment horizontal="left" vertical="top" wrapText="1"/>
    </xf>
    <xf numFmtId="0" fontId="34" fillId="4" borderId="1" xfId="5" applyFont="1" applyFill="1" applyBorder="1" applyAlignment="1">
      <alignment horizontal="left" vertical="top" wrapText="1"/>
    </xf>
    <xf numFmtId="0" fontId="34" fillId="4" borderId="2" xfId="5" applyFont="1" applyFill="1" applyBorder="1" applyAlignment="1">
      <alignment horizontal="left" vertical="top" wrapText="1"/>
    </xf>
    <xf numFmtId="0" fontId="34" fillId="4" borderId="3" xfId="5" applyFont="1" applyFill="1" applyBorder="1" applyAlignment="1">
      <alignment horizontal="left" vertical="top" wrapText="1"/>
    </xf>
    <xf numFmtId="0" fontId="34" fillId="0" borderId="4" xfId="5" applyFont="1" applyBorder="1" applyAlignment="1">
      <alignment horizontal="left" vertical="top" wrapText="1"/>
    </xf>
    <xf numFmtId="0" fontId="34" fillId="0" borderId="5" xfId="5" applyFont="1" applyBorder="1" applyAlignment="1">
      <alignment horizontal="left" vertical="top"/>
    </xf>
    <xf numFmtId="0" fontId="34" fillId="0" borderId="7" xfId="5" applyFont="1" applyBorder="1" applyAlignment="1">
      <alignment horizontal="left" vertical="top"/>
    </xf>
    <xf numFmtId="0" fontId="34" fillId="6" borderId="4" xfId="5" applyFont="1" applyFill="1" applyBorder="1" applyAlignment="1">
      <alignment horizontal="left" vertical="top" wrapText="1"/>
    </xf>
    <xf numFmtId="0" fontId="34" fillId="6" borderId="5" xfId="5" applyFont="1" applyFill="1" applyBorder="1" applyAlignment="1">
      <alignment horizontal="left" vertical="top"/>
    </xf>
    <xf numFmtId="0" fontId="34" fillId="6" borderId="7" xfId="5" applyFont="1" applyFill="1" applyBorder="1" applyAlignment="1">
      <alignment horizontal="left" vertical="top"/>
    </xf>
    <xf numFmtId="0" fontId="49" fillId="0" borderId="6" xfId="5" applyFont="1" applyBorder="1" applyAlignment="1">
      <alignment horizontal="left"/>
    </xf>
    <xf numFmtId="0" fontId="87" fillId="5" borderId="0" xfId="5" applyFont="1" applyFill="1" applyAlignment="1">
      <alignment horizontal="left" wrapText="1"/>
    </xf>
    <xf numFmtId="0" fontId="87" fillId="5" borderId="0" xfId="5" applyFont="1" applyFill="1" applyAlignment="1">
      <alignment horizontal="left"/>
    </xf>
    <xf numFmtId="0" fontId="87" fillId="18" borderId="0" xfId="5" applyFont="1" applyFill="1" applyAlignment="1">
      <alignment horizontal="left" vertical="top" wrapText="1"/>
    </xf>
    <xf numFmtId="0" fontId="87" fillId="18" borderId="0" xfId="5" applyFont="1" applyFill="1" applyAlignment="1">
      <alignment horizontal="left" vertical="top"/>
    </xf>
    <xf numFmtId="0" fontId="0" fillId="0" borderId="0" xfId="0" applyAlignment="1">
      <alignment horizontal="left" wrapText="1"/>
    </xf>
    <xf numFmtId="0" fontId="55" fillId="0" borderId="6" xfId="0" applyFont="1" applyBorder="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applyAlignment="1">
      <alignment horizontal="left"/>
    </xf>
    <xf numFmtId="0" fontId="80" fillId="0" borderId="0" xfId="0" applyFont="1" applyAlignment="1">
      <alignment horizontal="center"/>
    </xf>
    <xf numFmtId="0" fontId="78" fillId="0" borderId="2" xfId="0" applyFont="1" applyBorder="1" applyAlignment="1">
      <alignment horizontal="center" vertical="center"/>
    </xf>
    <xf numFmtId="0" fontId="78" fillId="0" borderId="3" xfId="0" applyFont="1" applyBorder="1" applyAlignment="1">
      <alignment horizontal="center" vertical="center"/>
    </xf>
    <xf numFmtId="0" fontId="78" fillId="0" borderId="2" xfId="0" applyFont="1" applyBorder="1" applyAlignment="1">
      <alignment horizontal="center" vertical="center" wrapText="1"/>
    </xf>
    <xf numFmtId="0" fontId="78" fillId="0" borderId="96" xfId="0" applyFont="1" applyBorder="1" applyAlignment="1">
      <alignment horizontal="center" vertical="center" wrapText="1"/>
    </xf>
    <xf numFmtId="0" fontId="76" fillId="25" borderId="89" xfId="0" applyFont="1" applyFill="1" applyBorder="1" applyAlignment="1">
      <alignment horizontal="center"/>
    </xf>
    <xf numFmtId="0" fontId="76" fillId="25" borderId="75" xfId="0" applyFont="1" applyFill="1" applyBorder="1" applyAlignment="1">
      <alignment horizontal="center"/>
    </xf>
    <xf numFmtId="0" fontId="76" fillId="25" borderId="76" xfId="0" applyFont="1" applyFill="1" applyBorder="1" applyAlignment="1">
      <alignment horizontal="center"/>
    </xf>
    <xf numFmtId="0" fontId="78" fillId="0" borderId="95" xfId="0" applyFont="1" applyBorder="1" applyAlignment="1">
      <alignment horizontal="center" vertical="center"/>
    </xf>
    <xf numFmtId="0" fontId="55" fillId="0" borderId="134" xfId="0" applyFont="1" applyBorder="1" applyAlignment="1">
      <alignment horizontal="center" vertical="center"/>
    </xf>
    <xf numFmtId="0" fontId="55" fillId="0" borderId="136" xfId="0" applyFont="1" applyBorder="1" applyAlignment="1">
      <alignment horizontal="center" vertical="center"/>
    </xf>
    <xf numFmtId="0" fontId="55" fillId="9" borderId="81" xfId="0" applyFont="1" applyFill="1" applyBorder="1" applyAlignment="1">
      <alignment horizontal="center"/>
    </xf>
    <xf numFmtId="0" fontId="55" fillId="9" borderId="82" xfId="0" applyFont="1" applyFill="1" applyBorder="1" applyAlignment="1">
      <alignment horizontal="center"/>
    </xf>
    <xf numFmtId="0" fontId="55" fillId="9" borderId="141" xfId="0" applyFont="1" applyFill="1" applyBorder="1" applyAlignment="1">
      <alignment horizontal="center"/>
    </xf>
    <xf numFmtId="0" fontId="55" fillId="9" borderId="73" xfId="0" applyFont="1" applyFill="1" applyBorder="1" applyAlignment="1">
      <alignment horizontal="center"/>
    </xf>
    <xf numFmtId="0" fontId="55" fillId="9" borderId="115" xfId="0" applyFont="1" applyFill="1" applyBorder="1" applyAlignment="1">
      <alignment horizontal="center"/>
    </xf>
    <xf numFmtId="0" fontId="55" fillId="9" borderId="133" xfId="0" applyFont="1" applyFill="1" applyBorder="1" applyAlignment="1">
      <alignment horizontal="center"/>
    </xf>
    <xf numFmtId="0" fontId="55" fillId="0" borderId="13" xfId="0" applyFont="1" applyBorder="1" applyAlignment="1">
      <alignment horizontal="center" vertical="center"/>
    </xf>
    <xf numFmtId="0" fontId="55" fillId="0" borderId="14" xfId="0" applyFont="1" applyBorder="1" applyAlignment="1">
      <alignment horizontal="center" vertical="center"/>
    </xf>
    <xf numFmtId="0" fontId="55" fillId="21" borderId="129" xfId="0" applyFont="1" applyFill="1" applyBorder="1" applyAlignment="1">
      <alignment horizontal="center" vertical="center"/>
    </xf>
    <xf numFmtId="0" fontId="55" fillId="21" borderId="131" xfId="0" applyFont="1" applyFill="1" applyBorder="1" applyAlignment="1">
      <alignment horizontal="center" vertical="center"/>
    </xf>
    <xf numFmtId="0" fontId="55" fillId="21" borderId="23" xfId="0" applyFont="1" applyFill="1" applyBorder="1" applyAlignment="1">
      <alignment horizontal="center" vertical="center"/>
    </xf>
    <xf numFmtId="0" fontId="55" fillId="21" borderId="130" xfId="0" applyFont="1" applyFill="1" applyBorder="1" applyAlignment="1">
      <alignment horizontal="center" vertical="center"/>
    </xf>
    <xf numFmtId="0" fontId="55" fillId="21" borderId="6" xfId="0" applyFont="1" applyFill="1" applyBorder="1" applyAlignment="1">
      <alignment horizontal="center" vertical="center"/>
    </xf>
    <xf numFmtId="0" fontId="55" fillId="21" borderId="6" xfId="0" applyFont="1" applyFill="1" applyBorder="1" applyAlignment="1">
      <alignment horizontal="center"/>
    </xf>
    <xf numFmtId="0" fontId="55" fillId="21" borderId="1" xfId="0" applyFont="1" applyFill="1" applyBorder="1" applyAlignment="1">
      <alignment horizontal="center"/>
    </xf>
    <xf numFmtId="0" fontId="55" fillId="0" borderId="1" xfId="0" applyFont="1" applyBorder="1" applyAlignment="1">
      <alignment horizontal="left"/>
    </xf>
    <xf numFmtId="0" fontId="55" fillId="0" borderId="2" xfId="0" applyFont="1" applyBorder="1" applyAlignment="1">
      <alignment horizontal="left"/>
    </xf>
    <xf numFmtId="0" fontId="55" fillId="0" borderId="3" xfId="0" applyFont="1" applyBorder="1" applyAlignment="1">
      <alignment horizontal="left"/>
    </xf>
    <xf numFmtId="0" fontId="18" fillId="0" borderId="1" xfId="0" applyFont="1" applyBorder="1" applyAlignment="1">
      <alignment horizontal="left"/>
    </xf>
    <xf numFmtId="0" fontId="18" fillId="0" borderId="2" xfId="0" applyFont="1" applyBorder="1" applyAlignment="1">
      <alignment horizontal="left"/>
    </xf>
    <xf numFmtId="0" fontId="18" fillId="0" borderId="3" xfId="0" applyFont="1" applyBorder="1" applyAlignment="1">
      <alignment horizontal="left"/>
    </xf>
    <xf numFmtId="0" fontId="15" fillId="0" borderId="6" xfId="0" applyFont="1" applyBorder="1" applyAlignment="1">
      <alignment horizontal="left" vertical="center" indent="1"/>
    </xf>
    <xf numFmtId="0" fontId="14" fillId="0" borderId="6" xfId="0" applyFont="1" applyBorder="1" applyAlignment="1">
      <alignment horizontal="left" vertical="center" wrapText="1" indent="1"/>
    </xf>
    <xf numFmtId="0" fontId="14" fillId="0" borderId="6" xfId="0" applyFont="1" applyBorder="1" applyAlignment="1">
      <alignment horizontal="left" vertical="center" indent="1"/>
    </xf>
    <xf numFmtId="0" fontId="14" fillId="0" borderId="6" xfId="0" applyFont="1" applyBorder="1" applyAlignment="1">
      <alignment horizontal="left" vertical="center" wrapText="1" indent="2"/>
    </xf>
    <xf numFmtId="0" fontId="14" fillId="0" borderId="6" xfId="0" applyFont="1" applyBorder="1" applyAlignment="1">
      <alignment horizontal="left" vertical="center" indent="2"/>
    </xf>
    <xf numFmtId="0" fontId="17" fillId="12" borderId="6" xfId="0" applyFont="1" applyFill="1" applyBorder="1" applyAlignment="1">
      <alignment horizontal="left"/>
    </xf>
    <xf numFmtId="0" fontId="15" fillId="0" borderId="6" xfId="0" applyFont="1" applyBorder="1" applyAlignment="1">
      <alignment horizontal="center" vertical="center" wrapText="1"/>
    </xf>
    <xf numFmtId="0" fontId="15" fillId="12" borderId="6" xfId="0" applyFont="1" applyFill="1" applyBorder="1" applyAlignment="1">
      <alignment horizontal="left" vertical="center" wrapText="1"/>
    </xf>
    <xf numFmtId="0" fontId="17" fillId="12" borderId="1" xfId="0" applyFont="1" applyFill="1" applyBorder="1" applyAlignment="1">
      <alignment horizontal="left"/>
    </xf>
    <xf numFmtId="0" fontId="17" fillId="12" borderId="2" xfId="0" applyFont="1" applyFill="1" applyBorder="1" applyAlignment="1">
      <alignment horizontal="left"/>
    </xf>
    <xf numFmtId="0" fontId="17" fillId="12" borderId="3" xfId="0" applyFont="1" applyFill="1" applyBorder="1" applyAlignment="1">
      <alignment horizontal="left"/>
    </xf>
    <xf numFmtId="0" fontId="11" fillId="0" borderId="101" xfId="0" applyFont="1" applyBorder="1" applyAlignment="1">
      <alignment horizontal="center"/>
    </xf>
    <xf numFmtId="0" fontId="11" fillId="0" borderId="114" xfId="0" applyFont="1" applyBorder="1" applyAlignment="1">
      <alignment horizontal="center"/>
    </xf>
    <xf numFmtId="0" fontId="11" fillId="0" borderId="102" xfId="0" applyFont="1" applyBorder="1" applyAlignment="1">
      <alignment horizontal="center"/>
    </xf>
    <xf numFmtId="1" fontId="11" fillId="0" borderId="123" xfId="0" applyNumberFormat="1" applyFont="1" applyBorder="1" applyAlignment="1">
      <alignment horizontal="center"/>
    </xf>
    <xf numFmtId="0" fontId="11" fillId="0" borderId="112" xfId="0" applyFont="1" applyBorder="1" applyAlignment="1">
      <alignment horizontal="center"/>
    </xf>
    <xf numFmtId="0" fontId="11" fillId="0" borderId="124" xfId="0" applyFont="1" applyBorder="1" applyAlignment="1">
      <alignment horizontal="center"/>
    </xf>
    <xf numFmtId="0" fontId="11" fillId="0" borderId="123" xfId="0" applyFont="1" applyBorder="1" applyAlignment="1">
      <alignment horizontal="center"/>
    </xf>
    <xf numFmtId="0" fontId="27" fillId="0" borderId="128" xfId="8" applyFont="1" applyBorder="1" applyAlignment="1">
      <alignment horizontal="center"/>
    </xf>
    <xf numFmtId="0" fontId="27" fillId="0" borderId="156" xfId="8" applyFont="1" applyBorder="1" applyAlignment="1">
      <alignment horizontal="center"/>
    </xf>
    <xf numFmtId="0" fontId="28" fillId="0" borderId="138" xfId="8" applyFont="1" applyBorder="1" applyAlignment="1">
      <alignment horizontal="center" vertical="center"/>
    </xf>
    <xf numFmtId="0" fontId="28" fillId="0" borderId="139" xfId="8" applyFont="1" applyBorder="1" applyAlignment="1">
      <alignment horizontal="center" vertical="center"/>
    </xf>
    <xf numFmtId="0" fontId="28" fillId="0" borderId="140" xfId="8" applyFont="1" applyBorder="1" applyAlignment="1">
      <alignment horizontal="center" vertical="center"/>
    </xf>
    <xf numFmtId="0" fontId="55" fillId="0" borderId="11" xfId="0" applyFont="1" applyBorder="1" applyAlignment="1">
      <alignment horizontal="center" vertical="center"/>
    </xf>
    <xf numFmtId="0" fontId="55" fillId="0" borderId="12" xfId="0" applyFont="1" applyBorder="1" applyAlignment="1">
      <alignment horizontal="center" vertical="center"/>
    </xf>
    <xf numFmtId="0" fontId="55" fillId="0" borderId="18" xfId="0" applyFont="1" applyBorder="1" applyAlignment="1">
      <alignment horizontal="center" vertical="center"/>
    </xf>
    <xf numFmtId="0" fontId="55" fillId="0" borderId="0" xfId="0" applyFont="1" applyAlignment="1">
      <alignment horizontal="center" vertical="center"/>
    </xf>
    <xf numFmtId="0" fontId="55" fillId="0" borderId="73" xfId="0" applyFont="1" applyBorder="1" applyAlignment="1">
      <alignment horizontal="left"/>
    </xf>
    <xf numFmtId="0" fontId="55" fillId="0" borderId="115" xfId="0" applyFont="1" applyBorder="1" applyAlignment="1">
      <alignment horizontal="left"/>
    </xf>
    <xf numFmtId="0" fontId="55" fillId="0" borderId="133" xfId="0" applyFont="1" applyBorder="1" applyAlignment="1">
      <alignment horizontal="left"/>
    </xf>
    <xf numFmtId="10" fontId="87" fillId="0" borderId="159" xfId="0" applyNumberFormat="1" applyFont="1" applyBorder="1" applyAlignment="1"/>
  </cellXfs>
  <cellStyles count="17">
    <cellStyle name="Comma 2" xfId="1"/>
    <cellStyle name="Comma 3" xfId="7"/>
    <cellStyle name="Comma 4" xfId="10"/>
    <cellStyle name="Čiarka" xfId="3" builtinId="3"/>
    <cellStyle name="Čiarka 2" xfId="12"/>
    <cellStyle name="Hyperlink 2" xfId="6"/>
    <cellStyle name="Hypertextové prepojenie" xfId="4" builtinId="8"/>
    <cellStyle name="Normal 2" xfId="2"/>
    <cellStyle name="Normal 2 2" xfId="8"/>
    <cellStyle name="Normal 2 3" xfId="13"/>
    <cellStyle name="Normal 3" xfId="5"/>
    <cellStyle name="Normal 4" xfId="14"/>
    <cellStyle name="Normal 5" xfId="15"/>
    <cellStyle name="Normal 6" xfId="16"/>
    <cellStyle name="Normálna" xfId="0" builtinId="0"/>
    <cellStyle name="Percent 2" xfId="11"/>
    <cellStyle name="Percentá" xfId="9" builtinId="5"/>
  </cellStyles>
  <dxfs count="164">
    <dxf>
      <font>
        <strike val="0"/>
        <outline val="0"/>
        <shadow val="0"/>
        <vertAlign val="baseline"/>
        <sz val="8"/>
        <name val="Calibri"/>
        <scheme val="minor"/>
      </font>
      <border diagonalUp="0" diagonalDown="0" outline="0">
        <left style="thin">
          <color indexed="64"/>
        </left>
        <right/>
        <top style="thin">
          <color indexed="64"/>
        </top>
        <bottom style="thin">
          <color indexed="64"/>
        </bottom>
      </border>
    </dxf>
    <dxf>
      <font>
        <strike val="0"/>
        <outline val="0"/>
        <shadow val="0"/>
        <vertAlign val="baseline"/>
        <sz val="8"/>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8"/>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8"/>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8"/>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8"/>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8"/>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8"/>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name val="Calibri"/>
        <scheme val="minor"/>
      </font>
      <border diagonalUp="0" diagonalDown="0">
        <left style="thin">
          <color indexed="64"/>
        </left>
        <right style="thin">
          <color indexed="64"/>
        </right>
        <top style="thin">
          <color indexed="64"/>
        </top>
        <bottom/>
        <vertical/>
        <horizontal/>
      </border>
    </dxf>
    <dxf>
      <font>
        <strike val="0"/>
        <outline val="0"/>
        <shadow val="0"/>
        <vertAlign val="baseline"/>
        <sz val="8"/>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vertAlign val="baseline"/>
        <sz val="8"/>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vertAlign val="baseline"/>
        <sz val="8"/>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8"/>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8"/>
        <name val="Calibri"/>
        <scheme val="minor"/>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Calibri"/>
        <scheme val="minor"/>
      </font>
      <border diagonalUp="0" diagonalDown="0">
        <left/>
        <right style="thin">
          <color indexed="64"/>
        </right>
        <top style="thin">
          <color indexed="64"/>
        </top>
        <bottom/>
        <vertical/>
        <horizontal/>
      </border>
    </dxf>
    <dxf>
      <font>
        <strike val="0"/>
        <outline val="0"/>
        <shadow val="0"/>
        <vertAlign val="baseline"/>
        <sz val="8"/>
        <name val="Calibri"/>
        <scheme val="minor"/>
      </font>
      <border diagonalUp="0" diagonalDown="0" outline="0">
        <left/>
        <right style="thin">
          <color indexed="64"/>
        </right>
        <top style="thin">
          <color indexed="64"/>
        </top>
        <bottom style="thin">
          <color indexed="64"/>
        </bottom>
      </border>
    </dxf>
    <dxf>
      <fill>
        <patternFill patternType="solid">
          <fgColor rgb="FFFFFF00"/>
          <bgColor rgb="FF000000"/>
        </patternFill>
      </fill>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8"/>
        <name val="Calibri"/>
        <scheme val="minor"/>
      </font>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numFmt numFmtId="167" formatCode="0.0%"/>
      <border diagonalUp="0" diagonalDown="0">
        <left style="thin">
          <color indexed="64"/>
        </left>
        <right style="thin">
          <color indexed="64"/>
        </right>
        <top style="thin">
          <color indexed="64"/>
        </top>
        <bottom style="thin">
          <color indexed="64"/>
        </bottom>
      </border>
    </dxf>
    <dxf>
      <font>
        <strike val="0"/>
        <outline val="0"/>
        <shadow val="0"/>
        <vertAlign val="baseline"/>
        <sz val="9"/>
        <name val="Calibri"/>
        <scheme val="minor"/>
      </font>
      <numFmt numFmtId="167" formatCode="0.0%"/>
      <border diagonalUp="0" diagonalDown="0">
        <left style="thin">
          <color indexed="64"/>
        </left>
        <right style="thin">
          <color indexed="64"/>
        </right>
        <top style="thin">
          <color indexed="64"/>
        </top>
        <bottom style="thin">
          <color indexed="64"/>
        </bottom>
      </border>
    </dxf>
    <dxf>
      <font>
        <strike val="0"/>
        <outline val="0"/>
        <shadow val="0"/>
        <vertAlign val="baseline"/>
        <sz val="9"/>
        <name val="Calibri"/>
        <scheme val="minor"/>
      </font>
      <numFmt numFmtId="167" formatCode="0.0%"/>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fill>
        <patternFill patternType="none">
          <fgColor indexed="64"/>
          <bgColor indexed="65"/>
        </patternFill>
      </fill>
      <border diagonalUp="0" diagonalDown="0" outline="0">
        <left style="thin">
          <color indexed="64"/>
        </left>
        <right style="thin">
          <color indexed="64"/>
        </right>
        <top/>
        <bottom/>
      </border>
    </dxf>
    <dxf>
      <font>
        <strike val="0"/>
        <outline val="0"/>
        <shadow val="0"/>
        <u val="none"/>
        <vertAlign val="baseline"/>
        <sz val="9"/>
        <color auto="1"/>
        <name val="Calibri"/>
        <scheme val="minor"/>
      </font>
      <numFmt numFmtId="169" formatCode="###\ ###\ ###\ ##0"/>
      <fill>
        <patternFill patternType="none">
          <fgColor indexed="64"/>
          <bgColor indexed="65"/>
        </patternFill>
      </fill>
      <border diagonalUp="0" diagonalDown="0">
        <left style="thin">
          <color indexed="64"/>
        </left>
        <right style="thin">
          <color indexed="64"/>
        </right>
        <top style="thin">
          <color indexed="64"/>
        </top>
        <bottom/>
      </border>
    </dxf>
    <dxf>
      <font>
        <strike val="0"/>
        <outline val="0"/>
        <shadow val="0"/>
        <u val="none"/>
        <vertAlign val="baseline"/>
        <sz val="9"/>
        <color auto="1"/>
        <name val="Calibri"/>
        <scheme val="minor"/>
      </font>
      <numFmt numFmtId="169" formatCode="###\ ###\ ###\ ##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right style="thin">
          <color indexed="64"/>
        </right>
        <top style="thin">
          <color indexed="64"/>
        </top>
        <bottom style="thin">
          <color indexed="64"/>
        </bottom>
      </border>
    </dxf>
    <dxf>
      <fill>
        <patternFill patternType="solid">
          <fgColor rgb="FFFFFF00"/>
          <bgColor rgb="FF000000"/>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vertAlign val="baseline"/>
        <sz val="9"/>
        <name val="Calibri"/>
        <scheme val="minor"/>
      </font>
    </dxf>
    <dxf>
      <border>
        <bottom style="thin">
          <color rgb="FF000000"/>
        </bottom>
      </border>
    </dxf>
    <dxf>
      <border diagonalUp="0" diagonalDown="0">
        <left style="thin">
          <color indexed="64"/>
        </left>
        <right style="thin">
          <color indexed="64"/>
        </right>
        <top/>
        <bottom/>
        <vertical style="thin">
          <color indexed="64"/>
        </vertical>
        <horizontal style="thin">
          <color indexed="64"/>
        </horizontal>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numFmt numFmtId="1" formatCode="0"/>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fill>
        <patternFill patternType="none">
          <fgColor indexed="64"/>
          <bgColor indexed="65"/>
        </patternFill>
      </fill>
      <border diagonalUp="0" diagonalDown="0" outline="0">
        <left style="thin">
          <color indexed="64"/>
        </left>
        <right style="thin">
          <color indexed="64"/>
        </right>
        <top/>
        <bottom/>
      </border>
    </dxf>
    <dxf>
      <font>
        <strike val="0"/>
        <outline val="0"/>
        <shadow val="0"/>
        <u val="none"/>
        <vertAlign val="baseline"/>
        <sz val="9"/>
        <color auto="1"/>
        <name val="Calibri"/>
        <scheme val="minor"/>
      </font>
      <numFmt numFmtId="169" formatCode="###\ ###\ ###\ ##0"/>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u val="none"/>
        <vertAlign val="baseline"/>
        <sz val="9"/>
        <color auto="1"/>
        <name val="Calibri"/>
        <scheme val="minor"/>
      </font>
      <numFmt numFmtId="169" formatCode="###\ ###\ ###\ ##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right style="thin">
          <color indexed="64"/>
        </right>
        <top style="thin">
          <color indexed="64"/>
        </top>
        <bottom style="thin">
          <color indexed="64"/>
        </bottom>
      </border>
    </dxf>
    <dxf>
      <fill>
        <patternFill patternType="solid">
          <fgColor rgb="FFFFFF00"/>
          <bgColor rgb="FF000000"/>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vertAlign val="baseline"/>
        <sz val="9"/>
        <name val="Calibri"/>
        <scheme val="minor"/>
      </font>
    </dxf>
    <dxf>
      <border>
        <bottom style="thin">
          <color rgb="FF000000"/>
        </bottom>
      </border>
    </dxf>
    <dxf>
      <border diagonalUp="0" diagonalDown="0">
        <left style="thin">
          <color indexed="64"/>
        </left>
        <right style="thin">
          <color indexed="64"/>
        </right>
        <top/>
        <bottom/>
        <vertical style="thin">
          <color indexed="64"/>
        </vertical>
        <horizontal style="thin">
          <color indexed="64"/>
        </horizontal>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numFmt numFmtId="169" formatCode="###\ ###\ ###\ ##0"/>
      <border diagonalUp="0" diagonalDown="0">
        <left style="thin">
          <color indexed="64"/>
        </left>
        <right style="thin">
          <color indexed="64"/>
        </right>
        <top style="thin">
          <color indexed="64"/>
        </top>
        <bottom style="thin">
          <color indexed="64"/>
        </bottom>
      </border>
    </dxf>
    <dxf>
      <font>
        <strike val="0"/>
        <outline val="0"/>
        <shadow val="0"/>
        <vertAlign val="baseline"/>
        <sz val="9"/>
        <color auto="1"/>
        <name val="Calibri"/>
        <scheme val="minor"/>
      </font>
      <numFmt numFmtId="169" formatCode="###\ ###\ ###\ ##0"/>
      <border diagonalUp="0" diagonalDown="0">
        <left style="thin">
          <color indexed="64"/>
        </left>
        <right/>
        <top style="thin">
          <color indexed="64"/>
        </top>
        <bottom style="thin">
          <color indexed="64"/>
        </bottom>
        <vertical/>
        <horizontal/>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scheme val="minor"/>
      </font>
      <numFmt numFmtId="169" formatCode="###\ ###\ ###\ ##0"/>
      <fill>
        <patternFill patternType="none">
          <fgColor indexed="64"/>
          <bgColor indexed="65"/>
        </patternFill>
      </fill>
      <border diagonalUp="0" diagonalDown="0" outline="0">
        <left style="thin">
          <color indexed="64"/>
        </left>
        <right style="thin">
          <color indexed="64"/>
        </right>
        <top/>
        <bottom/>
      </border>
    </dxf>
    <dxf>
      <font>
        <strike val="0"/>
        <outline val="0"/>
        <shadow val="0"/>
        <u val="none"/>
        <vertAlign val="baseline"/>
        <sz val="9"/>
        <color auto="1"/>
        <name val="Calibri"/>
        <scheme val="minor"/>
      </font>
      <numFmt numFmtId="169" formatCode="###\ ###\ ###\ ##0"/>
      <fill>
        <patternFill patternType="none">
          <fgColor indexed="64"/>
          <bgColor indexed="65"/>
        </patternFill>
      </fill>
      <border diagonalUp="0" diagonalDown="0" outline="0">
        <left style="thin">
          <color indexed="64"/>
        </left>
        <right style="thin">
          <color indexed="64"/>
        </right>
        <top style="thin">
          <color indexed="64"/>
        </top>
        <bottom/>
      </border>
    </dxf>
    <dxf>
      <font>
        <strike val="0"/>
        <outline val="0"/>
        <shadow val="0"/>
        <u val="none"/>
        <vertAlign val="baseline"/>
        <sz val="9"/>
        <color auto="1"/>
        <name val="Calibri"/>
        <scheme val="minor"/>
      </font>
      <numFmt numFmtId="169" formatCode="###\ ###\ ###\ ##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vertAlign val="baseline"/>
        <sz val="9"/>
        <name val="Calibri"/>
        <scheme val="minor"/>
      </font>
      <border diagonalUp="0" diagonalDown="0" outline="0">
        <left/>
        <right style="thin">
          <color indexed="64"/>
        </right>
        <top style="thin">
          <color indexed="64"/>
        </top>
        <bottom style="thin">
          <color indexed="64"/>
        </bottom>
      </border>
    </dxf>
    <dxf>
      <fill>
        <patternFill patternType="solid">
          <fgColor rgb="FFFFFF00"/>
          <bgColor rgb="FF000000"/>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vertAlign val="baseline"/>
        <sz val="9"/>
        <name val="Calibri"/>
        <scheme val="minor"/>
      </font>
    </dxf>
    <dxf>
      <border>
        <bottom style="thin">
          <color rgb="FF000000"/>
        </bottom>
      </border>
    </dxf>
    <dxf>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fill>
        <patternFill patternType="none">
          <fgColor indexed="64"/>
          <bgColor indexed="65"/>
        </patternFill>
      </fill>
      <border diagonalUp="0" diagonalDown="0">
        <left style="thin">
          <color indexed="64"/>
        </left>
        <right style="thin">
          <color indexed="64"/>
        </right>
        <top/>
        <bottom/>
        <vertical/>
        <horizontal/>
      </border>
    </dxf>
    <dxf>
      <fill>
        <patternFill patternType="none">
          <fgColor indexed="64"/>
          <bgColor indexed="65"/>
        </patternFill>
      </fill>
      <border diagonalUp="0" diagonalDown="0">
        <left style="thin">
          <color indexed="64"/>
        </left>
        <right style="thin">
          <color indexed="64"/>
        </right>
        <top style="thin">
          <color indexed="64"/>
        </top>
        <bottom/>
        <vertical/>
        <horizontal/>
      </border>
    </dxf>
    <dxf>
      <font>
        <strike val="0"/>
        <outline val="0"/>
        <shadow val="0"/>
        <u val="none"/>
        <vertAlign val="baseline"/>
        <sz val="11"/>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fill>
        <patternFill patternType="solid">
          <fgColor rgb="FFFFFF00"/>
          <bgColor rgb="FF000000"/>
        </patternFill>
      </fill>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rgb="FFFF0000"/>
        </patternFill>
      </fill>
    </dxf>
    <dxf>
      <fill>
        <patternFill>
          <bgColor rgb="FFFF0000"/>
        </patternFill>
      </fill>
    </dxf>
    <dxf>
      <fill>
        <patternFill>
          <bgColor rgb="FFFF0000"/>
        </patternFill>
      </fill>
    </dxf>
    <dxf>
      <fill>
        <patternFill>
          <bgColor rgb="FFFF0000"/>
        </patternFill>
      </fill>
    </dxf>
    <dxf>
      <font>
        <color rgb="FFFF0000"/>
      </font>
    </dxf>
    <dxf>
      <font>
        <color theme="9"/>
      </font>
    </dxf>
  </dxfs>
  <tableStyles count="0" defaultTableStyle="TableStyleMedium2" defaultPivotStyle="PivotStyleLight16"/>
  <colors>
    <mruColors>
      <color rgb="FFFF9966"/>
      <color rgb="FFF19A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1.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8"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Po</a:t>
            </a:r>
            <a:r>
              <a:rPr lang="sk-SK"/>
              <a:t>čet</a:t>
            </a:r>
            <a:r>
              <a:rPr lang="sk-SK" baseline="0"/>
              <a:t> prepravených osôb</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lineChart>
        <c:grouping val="standard"/>
        <c:varyColors val="0"/>
        <c:ser>
          <c:idx val="0"/>
          <c:order val="0"/>
          <c:spPr>
            <a:ln w="28575" cap="rnd">
              <a:solidFill>
                <a:schemeClr val="accent1"/>
              </a:solidFill>
              <a:round/>
            </a:ln>
            <a:effectLst/>
          </c:spPr>
          <c:marker>
            <c:symbol val="none"/>
          </c:marker>
          <c:cat>
            <c:strRef>
              <c:f>'DM_xx_SR_železnice_ukazovat '!$D$18:$X$18</c:f>
              <c:strCache>
                <c:ptCount val="21"/>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pt idx="20">
                  <c:v>2022</c:v>
                </c:pt>
              </c:strCache>
            </c:strRef>
          </c:cat>
          <c:val>
            <c:numRef>
              <c:f>'DM_xx_SR_železnice_ukazovat '!$D$19:$X$19</c:f>
              <c:numCache>
                <c:formatCode>#\ ###\ ##0</c:formatCode>
                <c:ptCount val="21"/>
                <c:pt idx="0">
                  <c:v>59430000</c:v>
                </c:pt>
                <c:pt idx="1">
                  <c:v>51274000</c:v>
                </c:pt>
                <c:pt idx="2">
                  <c:v>50325000</c:v>
                </c:pt>
                <c:pt idx="3">
                  <c:v>50458000</c:v>
                </c:pt>
                <c:pt idx="4">
                  <c:v>48438000</c:v>
                </c:pt>
                <c:pt idx="5">
                  <c:v>47070000</c:v>
                </c:pt>
                <c:pt idx="6">
                  <c:v>48744000</c:v>
                </c:pt>
                <c:pt idx="7">
                  <c:v>46667000</c:v>
                </c:pt>
                <c:pt idx="8">
                  <c:v>46583000</c:v>
                </c:pt>
                <c:pt idx="9">
                  <c:v>47531000</c:v>
                </c:pt>
                <c:pt idx="10">
                  <c:v>44698000</c:v>
                </c:pt>
                <c:pt idx="11">
                  <c:v>46064000</c:v>
                </c:pt>
                <c:pt idx="12">
                  <c:v>49272000</c:v>
                </c:pt>
                <c:pt idx="13">
                  <c:v>60566000</c:v>
                </c:pt>
                <c:pt idx="14">
                  <c:v>69529000</c:v>
                </c:pt>
                <c:pt idx="15">
                  <c:v>75370000</c:v>
                </c:pt>
                <c:pt idx="16">
                  <c:v>77753000</c:v>
                </c:pt>
                <c:pt idx="17">
                  <c:v>81420000</c:v>
                </c:pt>
                <c:pt idx="18">
                  <c:v>49577000</c:v>
                </c:pt>
                <c:pt idx="19">
                  <c:v>46345000</c:v>
                </c:pt>
                <c:pt idx="20">
                  <c:v>68138000</c:v>
                </c:pt>
              </c:numCache>
            </c:numRef>
          </c:val>
          <c:smooth val="0"/>
          <c:extLst>
            <c:ext xmlns:c16="http://schemas.microsoft.com/office/drawing/2014/chart" uri="{C3380CC4-5D6E-409C-BE32-E72D297353CC}">
              <c16:uniqueId val="{00000000-B53D-4510-A9BF-10651698C9C1}"/>
            </c:ext>
          </c:extLst>
        </c:ser>
        <c:dLbls>
          <c:showLegendKey val="0"/>
          <c:showVal val="0"/>
          <c:showCatName val="0"/>
          <c:showSerName val="0"/>
          <c:showPercent val="0"/>
          <c:showBubbleSize val="0"/>
        </c:dLbls>
        <c:smooth val="0"/>
        <c:axId val="1868075408"/>
        <c:axId val="99993408"/>
      </c:lineChart>
      <c:catAx>
        <c:axId val="1868075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99993408"/>
        <c:crosses val="autoZero"/>
        <c:auto val="1"/>
        <c:lblAlgn val="ctr"/>
        <c:lblOffset val="100"/>
        <c:noMultiLvlLbl val="0"/>
      </c:catAx>
      <c:valAx>
        <c:axId val="99993408"/>
        <c:scaling>
          <c:orientation val="minMax"/>
        </c:scaling>
        <c:delete val="0"/>
        <c:axPos val="l"/>
        <c:majorGridlines>
          <c:spPr>
            <a:ln w="9525" cap="flat" cmpd="sng" algn="ctr">
              <a:solidFill>
                <a:schemeClr val="tx1">
                  <a:lumMod val="15000"/>
                  <a:lumOff val="85000"/>
                </a:schemeClr>
              </a:solidFill>
              <a:round/>
            </a:ln>
            <a:effectLst/>
          </c:spPr>
        </c:majorGridlines>
        <c:numFmt formatCode="#\ ###\ ##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86807540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sz="1200"/>
              <a:t>Osobná doprava SR 2017-2022, výkony</a:t>
            </a:r>
            <a:endParaRPr lang="en-GB"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areaChart>
        <c:grouping val="stacked"/>
        <c:varyColors val="0"/>
        <c:ser>
          <c:idx val="0"/>
          <c:order val="0"/>
          <c:tx>
            <c:strRef>
              <c:f>'Data SU'!$A$21:$B$21</c:f>
              <c:strCache>
                <c:ptCount val="2"/>
                <c:pt idx="0">
                  <c:v>Železničná doprava</c:v>
                </c:pt>
                <c:pt idx="1">
                  <c:v>mil. oskm</c:v>
                </c:pt>
              </c:strCache>
            </c:strRef>
          </c:tx>
          <c:spPr>
            <a:solidFill>
              <a:schemeClr val="accent1"/>
            </a:solidFill>
            <a:ln>
              <a:noFill/>
            </a:ln>
            <a:effectLst/>
          </c:spPr>
          <c:val>
            <c:numRef>
              <c:f>'Data SU'!$C$21:$L$21</c:f>
              <c:numCache>
                <c:formatCode>###\ ###\ ###\ ##0</c:formatCode>
                <c:ptCount val="10"/>
                <c:pt idx="0">
                  <c:v>2485</c:v>
                </c:pt>
                <c:pt idx="1">
                  <c:v>2583</c:v>
                </c:pt>
                <c:pt idx="2">
                  <c:v>3411</c:v>
                </c:pt>
                <c:pt idx="3">
                  <c:v>3595</c:v>
                </c:pt>
                <c:pt idx="4">
                  <c:v>3873</c:v>
                </c:pt>
                <c:pt idx="5">
                  <c:v>3915</c:v>
                </c:pt>
                <c:pt idx="6">
                  <c:v>4093</c:v>
                </c:pt>
                <c:pt idx="7">
                  <c:v>2180</c:v>
                </c:pt>
                <c:pt idx="8">
                  <c:v>2052</c:v>
                </c:pt>
                <c:pt idx="9">
                  <c:v>3354</c:v>
                </c:pt>
              </c:numCache>
            </c:numRef>
          </c:val>
          <c:extLst>
            <c:ext xmlns:c16="http://schemas.microsoft.com/office/drawing/2014/chart" uri="{C3380CC4-5D6E-409C-BE32-E72D297353CC}">
              <c16:uniqueId val="{00000000-3598-426D-8D10-5EB2FA8F199D}"/>
            </c:ext>
          </c:extLst>
        </c:ser>
        <c:ser>
          <c:idx val="1"/>
          <c:order val="1"/>
          <c:tx>
            <c:strRef>
              <c:f>'[3]Data SU'!$A$22:$B$22</c:f>
              <c:strCache>
                <c:ptCount val="2"/>
                <c:pt idx="1">
                  <c:v>index* </c:v>
                </c:pt>
              </c:strCache>
            </c:strRef>
          </c:tx>
          <c:spPr>
            <a:solidFill>
              <a:schemeClr val="accent2"/>
            </a:solidFill>
            <a:ln>
              <a:noFill/>
            </a:ln>
            <a:effectLst/>
          </c:spPr>
          <c:val>
            <c:numRef>
              <c:f>'[3]Data SU'!$C$22:$H$22</c:f>
              <c:numCache>
                <c:formatCode>General</c:formatCode>
                <c:ptCount val="6"/>
                <c:pt idx="1">
                  <c:v>101.9</c:v>
                </c:pt>
                <c:pt idx="2">
                  <c:v>104.1</c:v>
                </c:pt>
                <c:pt idx="3">
                  <c:v>52.4</c:v>
                </c:pt>
                <c:pt idx="4">
                  <c:v>93.6</c:v>
                </c:pt>
                <c:pt idx="5">
                  <c:v>162.69999999999999</c:v>
                </c:pt>
              </c:numCache>
            </c:numRef>
          </c:val>
          <c:extLst>
            <c:ext xmlns:c16="http://schemas.microsoft.com/office/drawing/2014/chart" uri="{C3380CC4-5D6E-409C-BE32-E72D297353CC}">
              <c16:uniqueId val="{00000001-3598-426D-8D10-5EB2FA8F199D}"/>
            </c:ext>
          </c:extLst>
        </c:ser>
        <c:ser>
          <c:idx val="2"/>
          <c:order val="2"/>
          <c:tx>
            <c:strRef>
              <c:f>'Data SU'!$A$25:$B$25</c:f>
              <c:strCache>
                <c:ptCount val="2"/>
                <c:pt idx="0">
                  <c:v>cestná doprava (bez MHD)</c:v>
                </c:pt>
                <c:pt idx="1">
                  <c:v>mil. oskm</c:v>
                </c:pt>
              </c:strCache>
            </c:strRef>
          </c:tx>
          <c:spPr>
            <a:solidFill>
              <a:schemeClr val="accent3"/>
            </a:solidFill>
            <a:ln>
              <a:noFill/>
            </a:ln>
            <a:effectLst/>
          </c:spPr>
          <c:val>
            <c:numRef>
              <c:f>'Data SU'!$C$25:$L$25</c:f>
              <c:numCache>
                <c:formatCode>###\ ###\ ###\ ##0</c:formatCode>
                <c:ptCount val="10"/>
                <c:pt idx="0">
                  <c:v>4388</c:v>
                </c:pt>
                <c:pt idx="1">
                  <c:v>4495</c:v>
                </c:pt>
                <c:pt idx="2">
                  <c:v>4499</c:v>
                </c:pt>
                <c:pt idx="3">
                  <c:v>4996</c:v>
                </c:pt>
                <c:pt idx="4">
                  <c:v>5060</c:v>
                </c:pt>
                <c:pt idx="5">
                  <c:v>5394</c:v>
                </c:pt>
                <c:pt idx="6">
                  <c:v>5381</c:v>
                </c:pt>
                <c:pt idx="7">
                  <c:v>3138</c:v>
                </c:pt>
                <c:pt idx="8">
                  <c:v>2684</c:v>
                </c:pt>
                <c:pt idx="9">
                  <c:v>3302</c:v>
                </c:pt>
              </c:numCache>
            </c:numRef>
          </c:val>
          <c:extLst>
            <c:ext xmlns:c16="http://schemas.microsoft.com/office/drawing/2014/chart" uri="{C3380CC4-5D6E-409C-BE32-E72D297353CC}">
              <c16:uniqueId val="{00000002-3598-426D-8D10-5EB2FA8F199D}"/>
            </c:ext>
          </c:extLst>
        </c:ser>
        <c:ser>
          <c:idx val="3"/>
          <c:order val="3"/>
          <c:tx>
            <c:strRef>
              <c:f>'[3]Data SU'!$A$26:$B$26</c:f>
              <c:strCache>
                <c:ptCount val="2"/>
                <c:pt idx="1">
                  <c:v>index* </c:v>
                </c:pt>
              </c:strCache>
            </c:strRef>
          </c:tx>
          <c:spPr>
            <a:solidFill>
              <a:schemeClr val="accent4"/>
            </a:solidFill>
            <a:ln>
              <a:noFill/>
            </a:ln>
            <a:effectLst/>
          </c:spPr>
          <c:val>
            <c:numRef>
              <c:f>'[3]Data SU'!$C$26:$H$26</c:f>
              <c:numCache>
                <c:formatCode>General</c:formatCode>
                <c:ptCount val="6"/>
                <c:pt idx="1">
                  <c:v>107.4</c:v>
                </c:pt>
                <c:pt idx="2">
                  <c:v>101.5</c:v>
                </c:pt>
                <c:pt idx="3">
                  <c:v>59.1</c:v>
                </c:pt>
                <c:pt idx="4">
                  <c:v>80.400000000000006</c:v>
                </c:pt>
                <c:pt idx="5">
                  <c:v>129.9</c:v>
                </c:pt>
              </c:numCache>
            </c:numRef>
          </c:val>
          <c:extLst>
            <c:ext xmlns:c16="http://schemas.microsoft.com/office/drawing/2014/chart" uri="{C3380CC4-5D6E-409C-BE32-E72D297353CC}">
              <c16:uniqueId val="{00000003-3598-426D-8D10-5EB2FA8F199D}"/>
            </c:ext>
          </c:extLst>
        </c:ser>
        <c:ser>
          <c:idx val="4"/>
          <c:order val="4"/>
          <c:tx>
            <c:strRef>
              <c:f>'Data SU'!$A$27:$B$27</c:f>
              <c:strCache>
                <c:ptCount val="2"/>
                <c:pt idx="0">
                  <c:v>mestská hromadná doprava</c:v>
                </c:pt>
                <c:pt idx="1">
                  <c:v>mil. oskm</c:v>
                </c:pt>
              </c:strCache>
            </c:strRef>
          </c:tx>
          <c:spPr>
            <a:solidFill>
              <a:schemeClr val="accent5"/>
            </a:solidFill>
            <a:ln>
              <a:noFill/>
            </a:ln>
            <a:effectLst/>
          </c:spPr>
          <c:val>
            <c:numRef>
              <c:f>'Data SU'!$C$27:$L$27</c:f>
              <c:numCache>
                <c:formatCode>###\ ###\ ###\ ##0</c:formatCode>
                <c:ptCount val="10"/>
                <c:pt idx="0">
                  <c:v>1145</c:v>
                </c:pt>
                <c:pt idx="1">
                  <c:v>1115</c:v>
                </c:pt>
                <c:pt idx="2">
                  <c:v>1119</c:v>
                </c:pt>
                <c:pt idx="3">
                  <c:v>1197</c:v>
                </c:pt>
                <c:pt idx="4">
                  <c:v>1289</c:v>
                </c:pt>
                <c:pt idx="5">
                  <c:v>1299</c:v>
                </c:pt>
                <c:pt idx="6">
                  <c:v>1327</c:v>
                </c:pt>
                <c:pt idx="7">
                  <c:v>981</c:v>
                </c:pt>
                <c:pt idx="8">
                  <c:v>931</c:v>
                </c:pt>
                <c:pt idx="9">
                  <c:v>1552</c:v>
                </c:pt>
              </c:numCache>
            </c:numRef>
          </c:val>
          <c:extLst>
            <c:ext xmlns:c16="http://schemas.microsoft.com/office/drawing/2014/chart" uri="{C3380CC4-5D6E-409C-BE32-E72D297353CC}">
              <c16:uniqueId val="{00000004-3598-426D-8D10-5EB2FA8F199D}"/>
            </c:ext>
          </c:extLst>
        </c:ser>
        <c:ser>
          <c:idx val="5"/>
          <c:order val="5"/>
          <c:tx>
            <c:strRef>
              <c:f>'[3]Data SU'!$A$28:$B$28</c:f>
              <c:strCache>
                <c:ptCount val="2"/>
                <c:pt idx="1">
                  <c:v>index* </c:v>
                </c:pt>
              </c:strCache>
            </c:strRef>
          </c:tx>
          <c:spPr>
            <a:solidFill>
              <a:schemeClr val="accent6"/>
            </a:solidFill>
            <a:ln>
              <a:noFill/>
            </a:ln>
            <a:effectLst/>
          </c:spPr>
          <c:val>
            <c:numRef>
              <c:f>'[3]Data SU'!$C$28:$H$28</c:f>
              <c:numCache>
                <c:formatCode>General</c:formatCode>
                <c:ptCount val="6"/>
                <c:pt idx="1">
                  <c:v>99.5</c:v>
                </c:pt>
                <c:pt idx="2">
                  <c:v>102.8</c:v>
                </c:pt>
                <c:pt idx="3">
                  <c:v>74.8</c:v>
                </c:pt>
                <c:pt idx="4">
                  <c:v>94.7</c:v>
                </c:pt>
                <c:pt idx="5">
                  <c:v>134.69999999999999</c:v>
                </c:pt>
              </c:numCache>
            </c:numRef>
          </c:val>
          <c:extLst>
            <c:ext xmlns:c16="http://schemas.microsoft.com/office/drawing/2014/chart" uri="{C3380CC4-5D6E-409C-BE32-E72D297353CC}">
              <c16:uniqueId val="{00000005-3598-426D-8D10-5EB2FA8F199D}"/>
            </c:ext>
          </c:extLst>
        </c:ser>
        <c:dLbls>
          <c:showLegendKey val="0"/>
          <c:showVal val="0"/>
          <c:showCatName val="0"/>
          <c:showSerName val="0"/>
          <c:showPercent val="0"/>
          <c:showBubbleSize val="0"/>
        </c:dLbls>
        <c:axId val="1113643919"/>
        <c:axId val="275081199"/>
      </c:areaChart>
      <c:catAx>
        <c:axId val="1113643919"/>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75081199"/>
        <c:crosses val="autoZero"/>
        <c:auto val="1"/>
        <c:lblAlgn val="ctr"/>
        <c:lblOffset val="100"/>
        <c:noMultiLvlLbl val="0"/>
      </c:catAx>
      <c:valAx>
        <c:axId val="275081199"/>
        <c:scaling>
          <c:orientation val="minMax"/>
        </c:scaling>
        <c:delete val="0"/>
        <c:axPos val="l"/>
        <c:majorGridlines>
          <c:spPr>
            <a:ln w="9525" cap="flat" cmpd="sng" algn="ctr">
              <a:solidFill>
                <a:schemeClr val="tx1">
                  <a:lumMod val="15000"/>
                  <a:lumOff val="85000"/>
                </a:schemeClr>
              </a:solidFill>
              <a:round/>
            </a:ln>
            <a:effectLst/>
          </c:spPr>
        </c:majorGridlines>
        <c:numFmt formatCode="###\ ###\ ###\ ##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113643919"/>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a:t>Počet vlakových kilometrov</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lineChart>
        <c:grouping val="standard"/>
        <c:varyColors val="0"/>
        <c:ser>
          <c:idx val="0"/>
          <c:order val="0"/>
          <c:spPr>
            <a:ln w="28575" cap="rnd">
              <a:solidFill>
                <a:schemeClr val="accent1"/>
              </a:solidFill>
              <a:round/>
            </a:ln>
            <a:effectLst/>
          </c:spPr>
          <c:marker>
            <c:symbol val="none"/>
          </c:marker>
          <c:cat>
            <c:strRef>
              <c:f>'DM_xx_SR_železnice_ukazovat '!$F$18:$X$18</c:f>
              <c:strCache>
                <c:ptCount val="19"/>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strCache>
            </c:strRef>
          </c:cat>
          <c:val>
            <c:numRef>
              <c:f>'DM_xx_SR_železnice_ukazovat '!$F$20:$X$20</c:f>
              <c:numCache>
                <c:formatCode>#\ ###\ ###\ ##0</c:formatCode>
                <c:ptCount val="19"/>
                <c:pt idx="0">
                  <c:v>31143000</c:v>
                </c:pt>
                <c:pt idx="1">
                  <c:v>31337000</c:v>
                </c:pt>
                <c:pt idx="2">
                  <c:v>31271000</c:v>
                </c:pt>
                <c:pt idx="3">
                  <c:v>35268000</c:v>
                </c:pt>
                <c:pt idx="4">
                  <c:v>31319000</c:v>
                </c:pt>
                <c:pt idx="5">
                  <c:v>31176000</c:v>
                </c:pt>
                <c:pt idx="6">
                  <c:v>31591000</c:v>
                </c:pt>
                <c:pt idx="7">
                  <c:v>30721000</c:v>
                </c:pt>
                <c:pt idx="8">
                  <c:v>31371000</c:v>
                </c:pt>
                <c:pt idx="9">
                  <c:v>31429000</c:v>
                </c:pt>
                <c:pt idx="10">
                  <c:v>31848000</c:v>
                </c:pt>
                <c:pt idx="11">
                  <c:v>34151000</c:v>
                </c:pt>
                <c:pt idx="12">
                  <c:v>33519000</c:v>
                </c:pt>
                <c:pt idx="13">
                  <c:v>33060000</c:v>
                </c:pt>
                <c:pt idx="14">
                  <c:v>35057000</c:v>
                </c:pt>
                <c:pt idx="15">
                  <c:v>36929000</c:v>
                </c:pt>
                <c:pt idx="16">
                  <c:v>34099000</c:v>
                </c:pt>
                <c:pt idx="17">
                  <c:v>34645000</c:v>
                </c:pt>
                <c:pt idx="18">
                  <c:v>36028000</c:v>
                </c:pt>
              </c:numCache>
            </c:numRef>
          </c:val>
          <c:smooth val="0"/>
          <c:extLst>
            <c:ext xmlns:c16="http://schemas.microsoft.com/office/drawing/2014/chart" uri="{C3380CC4-5D6E-409C-BE32-E72D297353CC}">
              <c16:uniqueId val="{00000000-603F-4D82-A5FA-C91C6744EEFB}"/>
            </c:ext>
          </c:extLst>
        </c:ser>
        <c:dLbls>
          <c:showLegendKey val="0"/>
          <c:showVal val="0"/>
          <c:showCatName val="0"/>
          <c:showSerName val="0"/>
          <c:showPercent val="0"/>
          <c:showBubbleSize val="0"/>
        </c:dLbls>
        <c:smooth val="0"/>
        <c:axId val="1861901744"/>
        <c:axId val="99983328"/>
      </c:lineChart>
      <c:catAx>
        <c:axId val="1861901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99983328"/>
        <c:crosses val="autoZero"/>
        <c:auto val="1"/>
        <c:lblAlgn val="ctr"/>
        <c:lblOffset val="100"/>
        <c:noMultiLvlLbl val="0"/>
      </c:catAx>
      <c:valAx>
        <c:axId val="99983328"/>
        <c:scaling>
          <c:orientation val="minMax"/>
        </c:scaling>
        <c:delete val="0"/>
        <c:axPos val="l"/>
        <c:majorGridlines>
          <c:spPr>
            <a:ln w="9525" cap="flat" cmpd="sng" algn="ctr">
              <a:solidFill>
                <a:schemeClr val="tx1">
                  <a:lumMod val="15000"/>
                  <a:lumOff val="85000"/>
                </a:schemeClr>
              </a:solidFill>
              <a:round/>
            </a:ln>
            <a:effectLst/>
          </c:spPr>
        </c:majorGridlines>
        <c:numFmt formatCode="#\ ###\ ###\ ##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8619017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a:t>Počet prepravených osôb - predikcia</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lineChart>
        <c:grouping val="standard"/>
        <c:varyColors val="0"/>
        <c:ser>
          <c:idx val="0"/>
          <c:order val="0"/>
          <c:spPr>
            <a:ln w="28575" cap="rnd">
              <a:solidFill>
                <a:schemeClr val="accent1"/>
              </a:solidFill>
              <a:round/>
            </a:ln>
            <a:effectLst/>
          </c:spPr>
          <c:marker>
            <c:symbol val="none"/>
          </c:marker>
          <c:val>
            <c:numRef>
              <c:f>('DM_xx_SR_železnice_ukazovat '!$D$18:$X$18,'DM_xx_SR_železnice_ukazovat '!$AA$18:$AK$18)</c:f>
              <c:numCache>
                <c:formatCode>General</c:formatCode>
                <c:ptCount val="3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2023</c:v>
                </c:pt>
                <c:pt idx="22">
                  <c:v>2024</c:v>
                </c:pt>
                <c:pt idx="23">
                  <c:v>2025</c:v>
                </c:pt>
                <c:pt idx="24">
                  <c:v>2026</c:v>
                </c:pt>
                <c:pt idx="25">
                  <c:v>2027</c:v>
                </c:pt>
                <c:pt idx="26">
                  <c:v>2028</c:v>
                </c:pt>
                <c:pt idx="27">
                  <c:v>2029</c:v>
                </c:pt>
                <c:pt idx="28">
                  <c:v>2030</c:v>
                </c:pt>
                <c:pt idx="29">
                  <c:v>2031</c:v>
                </c:pt>
                <c:pt idx="30">
                  <c:v>2032</c:v>
                </c:pt>
                <c:pt idx="31">
                  <c:v>2033</c:v>
                </c:pt>
              </c:numCache>
            </c:numRef>
          </c:val>
          <c:smooth val="0"/>
          <c:extLst>
            <c:ext xmlns:c16="http://schemas.microsoft.com/office/drawing/2014/chart" uri="{C3380CC4-5D6E-409C-BE32-E72D297353CC}">
              <c16:uniqueId val="{00000000-93FA-4624-A9E9-9E32EE4B8418}"/>
            </c:ext>
          </c:extLst>
        </c:ser>
        <c:ser>
          <c:idx val="1"/>
          <c:order val="1"/>
          <c:spPr>
            <a:ln w="28575" cap="rnd">
              <a:solidFill>
                <a:schemeClr val="accent2"/>
              </a:solidFill>
              <a:round/>
            </a:ln>
            <a:effectLst/>
          </c:spPr>
          <c:marker>
            <c:symbol val="none"/>
          </c:marker>
          <c:val>
            <c:numRef>
              <c:f>('DM_xx_SR_železnice_ukazovat '!$D$19:$X$19,'DM_xx_SR_železnice_ukazovat '!$AA$19:$AK$19)</c:f>
              <c:numCache>
                <c:formatCode>#\ ###\ ##0</c:formatCode>
                <c:ptCount val="32"/>
                <c:pt idx="0">
                  <c:v>59430000</c:v>
                </c:pt>
                <c:pt idx="1">
                  <c:v>51274000</c:v>
                </c:pt>
                <c:pt idx="2">
                  <c:v>50325000</c:v>
                </c:pt>
                <c:pt idx="3">
                  <c:v>50458000</c:v>
                </c:pt>
                <c:pt idx="4">
                  <c:v>48438000</c:v>
                </c:pt>
                <c:pt idx="5">
                  <c:v>47070000</c:v>
                </c:pt>
                <c:pt idx="6">
                  <c:v>48744000</c:v>
                </c:pt>
                <c:pt idx="7">
                  <c:v>46667000</c:v>
                </c:pt>
                <c:pt idx="8">
                  <c:v>46583000</c:v>
                </c:pt>
                <c:pt idx="9">
                  <c:v>47531000</c:v>
                </c:pt>
                <c:pt idx="10">
                  <c:v>44698000</c:v>
                </c:pt>
                <c:pt idx="11">
                  <c:v>46064000</c:v>
                </c:pt>
                <c:pt idx="12">
                  <c:v>49272000</c:v>
                </c:pt>
                <c:pt idx="13">
                  <c:v>60566000</c:v>
                </c:pt>
                <c:pt idx="14">
                  <c:v>69529000</c:v>
                </c:pt>
                <c:pt idx="15">
                  <c:v>75370000</c:v>
                </c:pt>
                <c:pt idx="16">
                  <c:v>77753000</c:v>
                </c:pt>
                <c:pt idx="17">
                  <c:v>81420000</c:v>
                </c:pt>
                <c:pt idx="18">
                  <c:v>49577000</c:v>
                </c:pt>
                <c:pt idx="19">
                  <c:v>46345000</c:v>
                </c:pt>
                <c:pt idx="20">
                  <c:v>68138000</c:v>
                </c:pt>
                <c:pt idx="21">
                  <c:v>69637036</c:v>
                </c:pt>
                <c:pt idx="22">
                  <c:v>71169050.791999996</c:v>
                </c:pt>
                <c:pt idx="23">
                  <c:v>72734769.909423992</c:v>
                </c:pt>
                <c:pt idx="24">
                  <c:v>74334934.847431317</c:v>
                </c:pt>
                <c:pt idx="25">
                  <c:v>75970303.414074808</c:v>
                </c:pt>
                <c:pt idx="26">
                  <c:v>77641650.089184448</c:v>
                </c:pt>
                <c:pt idx="27">
                  <c:v>79349766.391146511</c:v>
                </c:pt>
                <c:pt idx="28">
                  <c:v>81095461.251751736</c:v>
                </c:pt>
                <c:pt idx="29">
                  <c:v>82879561.399290279</c:v>
                </c:pt>
                <c:pt idx="30">
                  <c:v>84702911.75007467</c:v>
                </c:pt>
                <c:pt idx="31">
                  <c:v>86566375.808576316</c:v>
                </c:pt>
              </c:numCache>
            </c:numRef>
          </c:val>
          <c:smooth val="0"/>
          <c:extLst>
            <c:ext xmlns:c16="http://schemas.microsoft.com/office/drawing/2014/chart" uri="{C3380CC4-5D6E-409C-BE32-E72D297353CC}">
              <c16:uniqueId val="{00000001-93FA-4624-A9E9-9E32EE4B8418}"/>
            </c:ext>
          </c:extLst>
        </c:ser>
        <c:dLbls>
          <c:showLegendKey val="0"/>
          <c:showVal val="0"/>
          <c:showCatName val="0"/>
          <c:showSerName val="0"/>
          <c:showPercent val="0"/>
          <c:showBubbleSize val="0"/>
        </c:dLbls>
        <c:smooth val="0"/>
        <c:axId val="1899929024"/>
        <c:axId val="497785120"/>
      </c:lineChart>
      <c:catAx>
        <c:axId val="1899929024"/>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497785120"/>
        <c:crosses val="autoZero"/>
        <c:auto val="1"/>
        <c:lblAlgn val="ctr"/>
        <c:lblOffset val="100"/>
        <c:noMultiLvlLbl val="0"/>
      </c:catAx>
      <c:valAx>
        <c:axId val="4977851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8999290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a:t>Počet prepravených osôb - predikcia</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lineChart>
        <c:grouping val="standard"/>
        <c:varyColors val="0"/>
        <c:ser>
          <c:idx val="0"/>
          <c:order val="0"/>
          <c:spPr>
            <a:ln w="28575" cap="rnd">
              <a:solidFill>
                <a:schemeClr val="accent1"/>
              </a:solidFill>
              <a:round/>
            </a:ln>
            <a:effectLst/>
          </c:spPr>
          <c:marker>
            <c:symbol val="none"/>
          </c:marker>
          <c:val>
            <c:numRef>
              <c:f>(DM_xx_SR_IAD_ukazovatele!$D$10:$X$10,DM_xx_SR_IAD_ukazovatele!$AA$10:$AK$10)</c:f>
              <c:numCache>
                <c:formatCode>General</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2023</c:v>
                </c:pt>
                <c:pt idx="14">
                  <c:v>2024</c:v>
                </c:pt>
                <c:pt idx="15">
                  <c:v>2025</c:v>
                </c:pt>
                <c:pt idx="16">
                  <c:v>2026</c:v>
                </c:pt>
                <c:pt idx="17">
                  <c:v>2027</c:v>
                </c:pt>
                <c:pt idx="18">
                  <c:v>2028</c:v>
                </c:pt>
                <c:pt idx="19">
                  <c:v>2029</c:v>
                </c:pt>
                <c:pt idx="20">
                  <c:v>2030</c:v>
                </c:pt>
                <c:pt idx="21">
                  <c:v>2031</c:v>
                </c:pt>
                <c:pt idx="22">
                  <c:v>2032</c:v>
                </c:pt>
                <c:pt idx="23">
                  <c:v>2033</c:v>
                </c:pt>
              </c:numCache>
            </c:numRef>
          </c:val>
          <c:smooth val="0"/>
          <c:extLst>
            <c:ext xmlns:c16="http://schemas.microsoft.com/office/drawing/2014/chart" uri="{C3380CC4-5D6E-409C-BE32-E72D297353CC}">
              <c16:uniqueId val="{00000000-CFEA-4CE6-B074-60C1A097C05A}"/>
            </c:ext>
          </c:extLst>
        </c:ser>
        <c:ser>
          <c:idx val="1"/>
          <c:order val="1"/>
          <c:spPr>
            <a:ln w="28575" cap="rnd">
              <a:solidFill>
                <a:schemeClr val="accent2"/>
              </a:solidFill>
              <a:round/>
            </a:ln>
            <a:effectLst/>
          </c:spPr>
          <c:marker>
            <c:symbol val="none"/>
          </c:marker>
          <c:val>
            <c:numRef>
              <c:f>(DM_xx_SR_IAD_ukazovatele!$D$11:$X$11,DM_xx_SR_IAD_ukazovatele!$AA$11:$AK$11)</c:f>
              <c:numCache>
                <c:formatCode>###\ ###\ ###\ ##0</c:formatCode>
                <c:ptCount val="24"/>
                <c:pt idx="0">
                  <c:v>26879000000</c:v>
                </c:pt>
                <c:pt idx="1">
                  <c:v>26887000000</c:v>
                </c:pt>
                <c:pt idx="2">
                  <c:v>26935000000</c:v>
                </c:pt>
                <c:pt idx="3">
                  <c:v>27155000000</c:v>
                </c:pt>
                <c:pt idx="4">
                  <c:v>27251000000</c:v>
                </c:pt>
                <c:pt idx="5">
                  <c:v>27531000000</c:v>
                </c:pt>
                <c:pt idx="6">
                  <c:v>27836000000</c:v>
                </c:pt>
                <c:pt idx="7">
                  <c:v>28125000000</c:v>
                </c:pt>
                <c:pt idx="8">
                  <c:v>28460000000</c:v>
                </c:pt>
                <c:pt idx="9">
                  <c:v>28616000000</c:v>
                </c:pt>
                <c:pt idx="10">
                  <c:v>28816038404.761032</c:v>
                </c:pt>
                <c:pt idx="11">
                  <c:v>29017475165.804539</c:v>
                </c:pt>
                <c:pt idx="12">
                  <c:v>29220320058.254929</c:v>
                </c:pt>
                <c:pt idx="13">
                  <c:v>29424582925.569023</c:v>
                </c:pt>
                <c:pt idx="14">
                  <c:v>29630273680.013721</c:v>
                </c:pt>
                <c:pt idx="15">
                  <c:v>29837402303.14703</c:v>
                </c:pt>
                <c:pt idx="16">
                  <c:v>30045978846.302422</c:v>
                </c:pt>
                <c:pt idx="17">
                  <c:v>30256013431.076607</c:v>
                </c:pt>
                <c:pt idx="18">
                  <c:v>30467516249.820698</c:v>
                </c:pt>
                <c:pt idx="19">
                  <c:v>30680497566.134819</c:v>
                </c:pt>
                <c:pt idx="20">
                  <c:v>30894967715.366169</c:v>
                </c:pt>
                <c:pt idx="21">
                  <c:v>31110937105.110558</c:v>
                </c:pt>
                <c:pt idx="22">
                  <c:v>31328416215.717461</c:v>
                </c:pt>
                <c:pt idx="23">
                  <c:v>31547415600.798595</c:v>
                </c:pt>
              </c:numCache>
            </c:numRef>
          </c:val>
          <c:smooth val="0"/>
          <c:extLst>
            <c:ext xmlns:c16="http://schemas.microsoft.com/office/drawing/2014/chart" uri="{C3380CC4-5D6E-409C-BE32-E72D297353CC}">
              <c16:uniqueId val="{00000001-CFEA-4CE6-B074-60C1A097C05A}"/>
            </c:ext>
          </c:extLst>
        </c:ser>
        <c:dLbls>
          <c:showLegendKey val="0"/>
          <c:showVal val="0"/>
          <c:showCatName val="0"/>
          <c:showSerName val="0"/>
          <c:showPercent val="0"/>
          <c:showBubbleSize val="0"/>
        </c:dLbls>
        <c:smooth val="0"/>
        <c:axId val="1899929024"/>
        <c:axId val="497785120"/>
      </c:lineChart>
      <c:catAx>
        <c:axId val="1899929024"/>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497785120"/>
        <c:crosses val="autoZero"/>
        <c:auto val="1"/>
        <c:lblAlgn val="ctr"/>
        <c:lblOffset val="100"/>
        <c:noMultiLvlLbl val="0"/>
      </c:catAx>
      <c:valAx>
        <c:axId val="4977851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8999290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areaChart>
        <c:grouping val="stacked"/>
        <c:varyColors val="0"/>
        <c:ser>
          <c:idx val="0"/>
          <c:order val="0"/>
          <c:tx>
            <c:strRef>
              <c:f>'Data SU'!$A$7:$B$7</c:f>
              <c:strCache>
                <c:ptCount val="2"/>
                <c:pt idx="0">
                  <c:v>Železničná doprava</c:v>
                </c:pt>
                <c:pt idx="1">
                  <c:v>tis. osôb</c:v>
                </c:pt>
              </c:strCache>
            </c:strRef>
          </c:tx>
          <c:spPr>
            <a:solidFill>
              <a:schemeClr val="accent1"/>
            </a:solidFill>
            <a:ln>
              <a:noFill/>
            </a:ln>
            <a:effectLst/>
          </c:spPr>
          <c:val>
            <c:numRef>
              <c:f>'Data SU'!$G$7:$L$7</c:f>
              <c:numCache>
                <c:formatCode>###\ ###\ ###\ ##0</c:formatCode>
                <c:ptCount val="6"/>
                <c:pt idx="0">
                  <c:v>75370</c:v>
                </c:pt>
                <c:pt idx="1">
                  <c:v>77753</c:v>
                </c:pt>
                <c:pt idx="2">
                  <c:v>81420</c:v>
                </c:pt>
                <c:pt idx="3">
                  <c:v>49577</c:v>
                </c:pt>
                <c:pt idx="4">
                  <c:v>46345</c:v>
                </c:pt>
                <c:pt idx="5">
                  <c:v>68138</c:v>
                </c:pt>
              </c:numCache>
            </c:numRef>
          </c:val>
          <c:extLst>
            <c:ext xmlns:c16="http://schemas.microsoft.com/office/drawing/2014/chart" uri="{C3380CC4-5D6E-409C-BE32-E72D297353CC}">
              <c16:uniqueId val="{00000000-CF54-477F-A14D-77C6F324913A}"/>
            </c:ext>
          </c:extLst>
        </c:ser>
        <c:ser>
          <c:idx val="1"/>
          <c:order val="1"/>
          <c:tx>
            <c:strRef>
              <c:f>'[3]Data SU'!$A$8:$B$8</c:f>
              <c:strCache>
                <c:ptCount val="2"/>
                <c:pt idx="1">
                  <c:v>index* </c:v>
                </c:pt>
              </c:strCache>
            </c:strRef>
          </c:tx>
          <c:spPr>
            <a:solidFill>
              <a:schemeClr val="accent2"/>
            </a:solidFill>
            <a:ln>
              <a:noFill/>
            </a:ln>
            <a:effectLst/>
          </c:spPr>
          <c:val>
            <c:numRef>
              <c:f>'[3]Data SU'!$C$8:$H$8</c:f>
              <c:numCache>
                <c:formatCode>General</c:formatCode>
                <c:ptCount val="6"/>
                <c:pt idx="1">
                  <c:v>102.7</c:v>
                </c:pt>
                <c:pt idx="2">
                  <c:v>104.8</c:v>
                </c:pt>
                <c:pt idx="3">
                  <c:v>59.8</c:v>
                </c:pt>
                <c:pt idx="4">
                  <c:v>94.5</c:v>
                </c:pt>
                <c:pt idx="5">
                  <c:v>146.69999999999999</c:v>
                </c:pt>
              </c:numCache>
            </c:numRef>
          </c:val>
          <c:extLst>
            <c:ext xmlns:c16="http://schemas.microsoft.com/office/drawing/2014/chart" uri="{C3380CC4-5D6E-409C-BE32-E72D297353CC}">
              <c16:uniqueId val="{00000001-CF54-477F-A14D-77C6F324913A}"/>
            </c:ext>
          </c:extLst>
        </c:ser>
        <c:ser>
          <c:idx val="2"/>
          <c:order val="2"/>
          <c:tx>
            <c:strRef>
              <c:f>'Data SU'!$A$9:$B$9</c:f>
              <c:strCache>
                <c:ptCount val="2"/>
                <c:pt idx="0">
                  <c:v>Cestná doprava spolu
v tom</c:v>
                </c:pt>
                <c:pt idx="1">
                  <c:v>tis. osôb</c:v>
                </c:pt>
              </c:strCache>
            </c:strRef>
          </c:tx>
          <c:spPr>
            <a:solidFill>
              <a:schemeClr val="accent3"/>
            </a:solidFill>
            <a:ln>
              <a:noFill/>
            </a:ln>
            <a:effectLst/>
          </c:spPr>
          <c:val>
            <c:numRef>
              <c:f>'Data SU'!$G$9:$L$9</c:f>
              <c:numCache>
                <c:formatCode>###\ ###\ ###\ ##0</c:formatCode>
                <c:ptCount val="6"/>
                <c:pt idx="0">
                  <c:v>618832</c:v>
                </c:pt>
                <c:pt idx="1">
                  <c:v>617582</c:v>
                </c:pt>
                <c:pt idx="2">
                  <c:v>621548</c:v>
                </c:pt>
                <c:pt idx="3">
                  <c:v>440246</c:v>
                </c:pt>
                <c:pt idx="4">
                  <c:v>409285</c:v>
                </c:pt>
                <c:pt idx="5">
                  <c:v>539875</c:v>
                </c:pt>
              </c:numCache>
            </c:numRef>
          </c:val>
          <c:extLst>
            <c:ext xmlns:c16="http://schemas.microsoft.com/office/drawing/2014/chart" uri="{C3380CC4-5D6E-409C-BE32-E72D297353CC}">
              <c16:uniqueId val="{00000002-CF54-477F-A14D-77C6F324913A}"/>
            </c:ext>
          </c:extLst>
        </c:ser>
        <c:ser>
          <c:idx val="3"/>
          <c:order val="3"/>
          <c:tx>
            <c:strRef>
              <c:f>'[3]Data SU'!$A$10:$B$10</c:f>
              <c:strCache>
                <c:ptCount val="2"/>
                <c:pt idx="1">
                  <c:v>index* </c:v>
                </c:pt>
              </c:strCache>
            </c:strRef>
          </c:tx>
          <c:spPr>
            <a:solidFill>
              <a:schemeClr val="accent4"/>
            </a:solidFill>
            <a:ln>
              <a:noFill/>
            </a:ln>
            <a:effectLst/>
          </c:spPr>
          <c:val>
            <c:numRef>
              <c:f>'[3]Data SU'!$C$10:$H$10</c:f>
              <c:numCache>
                <c:formatCode>General</c:formatCode>
                <c:ptCount val="6"/>
                <c:pt idx="1">
                  <c:v>100.3</c:v>
                </c:pt>
                <c:pt idx="2">
                  <c:v>100.9</c:v>
                </c:pt>
                <c:pt idx="3">
                  <c:v>71</c:v>
                </c:pt>
                <c:pt idx="4">
                  <c:v>92.8</c:v>
                </c:pt>
                <c:pt idx="5">
                  <c:v>132.5</c:v>
                </c:pt>
              </c:numCache>
            </c:numRef>
          </c:val>
          <c:extLst>
            <c:ext xmlns:c16="http://schemas.microsoft.com/office/drawing/2014/chart" uri="{C3380CC4-5D6E-409C-BE32-E72D297353CC}">
              <c16:uniqueId val="{00000003-CF54-477F-A14D-77C6F324913A}"/>
            </c:ext>
          </c:extLst>
        </c:ser>
        <c:dLbls>
          <c:showLegendKey val="0"/>
          <c:showVal val="0"/>
          <c:showCatName val="0"/>
          <c:showSerName val="0"/>
          <c:showPercent val="0"/>
          <c:showBubbleSize val="0"/>
        </c:dLbls>
        <c:axId val="674125119"/>
        <c:axId val="627312271"/>
      </c:areaChart>
      <c:catAx>
        <c:axId val="674125119"/>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627312271"/>
        <c:crosses val="autoZero"/>
        <c:auto val="1"/>
        <c:lblAlgn val="ctr"/>
        <c:lblOffset val="100"/>
        <c:noMultiLvlLbl val="0"/>
      </c:catAx>
      <c:valAx>
        <c:axId val="627312271"/>
        <c:scaling>
          <c:orientation val="minMax"/>
        </c:scaling>
        <c:delete val="0"/>
        <c:axPos val="l"/>
        <c:majorGridlines>
          <c:spPr>
            <a:ln w="9525" cap="flat" cmpd="sng" algn="ctr">
              <a:solidFill>
                <a:schemeClr val="tx1">
                  <a:lumMod val="15000"/>
                  <a:lumOff val="85000"/>
                </a:schemeClr>
              </a:solidFill>
              <a:round/>
            </a:ln>
            <a:effectLst/>
          </c:spPr>
        </c:majorGridlines>
        <c:numFmt formatCode="###\ ###\ ###\ ##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674125119"/>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sk-SK" sz="1200" b="0" i="0" baseline="0">
                <a:effectLst/>
              </a:rPr>
              <a:t>Cestná doprava vs. MHD SR 2017-2022, osoby</a:t>
            </a:r>
            <a:endParaRPr lang="en-GB" sz="1200">
              <a:effectLst/>
            </a:endParaRP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areaChart>
        <c:grouping val="stacked"/>
        <c:varyColors val="0"/>
        <c:ser>
          <c:idx val="0"/>
          <c:order val="0"/>
          <c:tx>
            <c:strRef>
              <c:f>'Data SU'!$A$11:$B$11</c:f>
              <c:strCache>
                <c:ptCount val="2"/>
                <c:pt idx="0">
                  <c:v>cestná doprava (bez MHD)</c:v>
                </c:pt>
                <c:pt idx="1">
                  <c:v>tis. osôb</c:v>
                </c:pt>
              </c:strCache>
            </c:strRef>
          </c:tx>
          <c:spPr>
            <a:solidFill>
              <a:schemeClr val="accent1"/>
            </a:solidFill>
            <a:ln>
              <a:noFill/>
            </a:ln>
            <a:effectLst/>
          </c:spPr>
          <c:val>
            <c:numRef>
              <c:f>'Data SU'!$C$11:$L$11</c:f>
              <c:numCache>
                <c:formatCode>###\ ###\ ###\ ##0</c:formatCode>
                <c:ptCount val="10"/>
                <c:pt idx="0">
                  <c:v>270123</c:v>
                </c:pt>
                <c:pt idx="1">
                  <c:v>262262</c:v>
                </c:pt>
                <c:pt idx="2">
                  <c:v>252175</c:v>
                </c:pt>
                <c:pt idx="3">
                  <c:v>259194</c:v>
                </c:pt>
                <c:pt idx="4">
                  <c:v>245731</c:v>
                </c:pt>
                <c:pt idx="5">
                  <c:v>242733</c:v>
                </c:pt>
                <c:pt idx="6">
                  <c:v>238886</c:v>
                </c:pt>
                <c:pt idx="7">
                  <c:v>156333</c:v>
                </c:pt>
                <c:pt idx="8">
                  <c:v>149826</c:v>
                </c:pt>
                <c:pt idx="9">
                  <c:v>166689</c:v>
                </c:pt>
              </c:numCache>
            </c:numRef>
          </c:val>
          <c:extLst>
            <c:ext xmlns:c16="http://schemas.microsoft.com/office/drawing/2014/chart" uri="{C3380CC4-5D6E-409C-BE32-E72D297353CC}">
              <c16:uniqueId val="{00000000-0594-48F6-829A-03F6C54392AE}"/>
            </c:ext>
          </c:extLst>
        </c:ser>
        <c:ser>
          <c:idx val="1"/>
          <c:order val="1"/>
          <c:tx>
            <c:strRef>
              <c:f>'[3]Data SU'!$A$12:$B$12</c:f>
              <c:strCache>
                <c:ptCount val="2"/>
                <c:pt idx="1">
                  <c:v>index* </c:v>
                </c:pt>
              </c:strCache>
            </c:strRef>
          </c:tx>
          <c:spPr>
            <a:solidFill>
              <a:schemeClr val="accent2"/>
            </a:solidFill>
            <a:ln>
              <a:noFill/>
            </a:ln>
            <a:effectLst/>
          </c:spPr>
          <c:val>
            <c:numRef>
              <c:f>'[3]Data SU'!$C$12:$H$12</c:f>
              <c:numCache>
                <c:formatCode>General</c:formatCode>
                <c:ptCount val="6"/>
                <c:pt idx="1">
                  <c:v>99.8</c:v>
                </c:pt>
                <c:pt idx="2">
                  <c:v>99</c:v>
                </c:pt>
                <c:pt idx="3">
                  <c:v>65.400000000000006</c:v>
                </c:pt>
                <c:pt idx="4">
                  <c:v>95.6</c:v>
                </c:pt>
                <c:pt idx="5">
                  <c:v>131.69999999999999</c:v>
                </c:pt>
              </c:numCache>
            </c:numRef>
          </c:val>
          <c:extLst>
            <c:ext xmlns:c16="http://schemas.microsoft.com/office/drawing/2014/chart" uri="{C3380CC4-5D6E-409C-BE32-E72D297353CC}">
              <c16:uniqueId val="{00000001-0594-48F6-829A-03F6C54392AE}"/>
            </c:ext>
          </c:extLst>
        </c:ser>
        <c:ser>
          <c:idx val="2"/>
          <c:order val="2"/>
          <c:tx>
            <c:strRef>
              <c:f>'Data SU'!$A$13:$B$13</c:f>
              <c:strCache>
                <c:ptCount val="2"/>
                <c:pt idx="0">
                  <c:v>mestská hromadná doprava</c:v>
                </c:pt>
                <c:pt idx="1">
                  <c:v>tis. osôb</c:v>
                </c:pt>
              </c:strCache>
            </c:strRef>
          </c:tx>
          <c:spPr>
            <a:solidFill>
              <a:schemeClr val="accent3"/>
            </a:solidFill>
            <a:ln>
              <a:noFill/>
            </a:ln>
            <a:effectLst/>
          </c:spPr>
          <c:val>
            <c:numRef>
              <c:f>'Data SU'!$C$13:$L$13</c:f>
              <c:numCache>
                <c:formatCode>###\ ###\ ###\ ##0</c:formatCode>
                <c:ptCount val="10"/>
                <c:pt idx="0">
                  <c:v>369323</c:v>
                </c:pt>
                <c:pt idx="1">
                  <c:v>380576</c:v>
                </c:pt>
                <c:pt idx="2">
                  <c:v>379468</c:v>
                </c:pt>
                <c:pt idx="3">
                  <c:v>377345</c:v>
                </c:pt>
                <c:pt idx="4">
                  <c:v>373101</c:v>
                </c:pt>
                <c:pt idx="5">
                  <c:v>374849</c:v>
                </c:pt>
                <c:pt idx="6">
                  <c:v>382662</c:v>
                </c:pt>
                <c:pt idx="7">
                  <c:v>283913</c:v>
                </c:pt>
                <c:pt idx="8">
                  <c:v>259459</c:v>
                </c:pt>
                <c:pt idx="9">
                  <c:v>373186</c:v>
                </c:pt>
              </c:numCache>
            </c:numRef>
          </c:val>
          <c:extLst>
            <c:ext xmlns:c16="http://schemas.microsoft.com/office/drawing/2014/chart" uri="{C3380CC4-5D6E-409C-BE32-E72D297353CC}">
              <c16:uniqueId val="{00000002-0594-48F6-829A-03F6C54392AE}"/>
            </c:ext>
          </c:extLst>
        </c:ser>
        <c:ser>
          <c:idx val="3"/>
          <c:order val="3"/>
          <c:tx>
            <c:strRef>
              <c:f>'[3]Data SU'!$A$14:$B$14</c:f>
              <c:strCache>
                <c:ptCount val="2"/>
                <c:pt idx="1">
                  <c:v>index* </c:v>
                </c:pt>
              </c:strCache>
            </c:strRef>
          </c:tx>
          <c:spPr>
            <a:solidFill>
              <a:schemeClr val="accent4"/>
            </a:solidFill>
            <a:ln>
              <a:noFill/>
            </a:ln>
            <a:effectLst/>
          </c:spPr>
          <c:val>
            <c:numRef>
              <c:f>'[3]Data SU'!$C$14:$H$14</c:f>
              <c:numCache>
                <c:formatCode>General</c:formatCode>
                <c:ptCount val="6"/>
                <c:pt idx="1">
                  <c:v>100.6</c:v>
                </c:pt>
                <c:pt idx="2">
                  <c:v>102.2</c:v>
                </c:pt>
                <c:pt idx="3">
                  <c:v>74.5</c:v>
                </c:pt>
                <c:pt idx="4">
                  <c:v>91.2</c:v>
                </c:pt>
                <c:pt idx="5">
                  <c:v>133</c:v>
                </c:pt>
              </c:numCache>
            </c:numRef>
          </c:val>
          <c:extLst>
            <c:ext xmlns:c16="http://schemas.microsoft.com/office/drawing/2014/chart" uri="{C3380CC4-5D6E-409C-BE32-E72D297353CC}">
              <c16:uniqueId val="{00000003-0594-48F6-829A-03F6C54392AE}"/>
            </c:ext>
          </c:extLst>
        </c:ser>
        <c:dLbls>
          <c:showLegendKey val="0"/>
          <c:showVal val="0"/>
          <c:showCatName val="0"/>
          <c:showSerName val="0"/>
          <c:showPercent val="0"/>
          <c:showBubbleSize val="0"/>
        </c:dLbls>
        <c:axId val="1115837631"/>
        <c:axId val="1055753871"/>
      </c:areaChart>
      <c:catAx>
        <c:axId val="1115837631"/>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055753871"/>
        <c:crosses val="autoZero"/>
        <c:auto val="1"/>
        <c:lblAlgn val="ctr"/>
        <c:lblOffset val="100"/>
        <c:noMultiLvlLbl val="0"/>
      </c:catAx>
      <c:valAx>
        <c:axId val="1055753871"/>
        <c:scaling>
          <c:orientation val="minMax"/>
        </c:scaling>
        <c:delete val="0"/>
        <c:axPos val="l"/>
        <c:majorGridlines>
          <c:spPr>
            <a:ln w="9525" cap="flat" cmpd="sng" algn="ctr">
              <a:solidFill>
                <a:schemeClr val="tx1">
                  <a:lumMod val="15000"/>
                  <a:lumOff val="85000"/>
                </a:schemeClr>
              </a:solidFill>
              <a:round/>
            </a:ln>
            <a:effectLst/>
          </c:spPr>
        </c:majorGridlines>
        <c:numFmt formatCode="###\ ###\ ###\ ##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115837631"/>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sz="1200"/>
              <a:t>Osobná doprava SR 2017-2022,</a:t>
            </a:r>
            <a:r>
              <a:rPr lang="sk-SK" sz="1200" baseline="0"/>
              <a:t> osoby</a:t>
            </a:r>
            <a:endParaRPr lang="en-GB"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areaChart>
        <c:grouping val="stacked"/>
        <c:varyColors val="0"/>
        <c:ser>
          <c:idx val="0"/>
          <c:order val="0"/>
          <c:tx>
            <c:strRef>
              <c:f>'Data SU'!$A$7:$B$7</c:f>
              <c:strCache>
                <c:ptCount val="2"/>
                <c:pt idx="0">
                  <c:v>Železničná doprava</c:v>
                </c:pt>
                <c:pt idx="1">
                  <c:v>tis. osôb</c:v>
                </c:pt>
              </c:strCache>
            </c:strRef>
          </c:tx>
          <c:spPr>
            <a:solidFill>
              <a:schemeClr val="accent1"/>
            </a:solidFill>
            <a:ln>
              <a:noFill/>
            </a:ln>
            <a:effectLst/>
          </c:spPr>
          <c:val>
            <c:numRef>
              <c:f>'Data SU'!$C$7:$L$7</c:f>
              <c:numCache>
                <c:formatCode>###\ ###\ ###\ ##0</c:formatCode>
                <c:ptCount val="10"/>
                <c:pt idx="0">
                  <c:v>46064</c:v>
                </c:pt>
                <c:pt idx="1">
                  <c:v>49272</c:v>
                </c:pt>
                <c:pt idx="2">
                  <c:v>60566</c:v>
                </c:pt>
                <c:pt idx="3">
                  <c:v>69529</c:v>
                </c:pt>
                <c:pt idx="4">
                  <c:v>75370</c:v>
                </c:pt>
                <c:pt idx="5">
                  <c:v>77753</c:v>
                </c:pt>
                <c:pt idx="6">
                  <c:v>81420</c:v>
                </c:pt>
                <c:pt idx="7">
                  <c:v>49577</c:v>
                </c:pt>
                <c:pt idx="8">
                  <c:v>46345</c:v>
                </c:pt>
                <c:pt idx="9">
                  <c:v>68138</c:v>
                </c:pt>
              </c:numCache>
            </c:numRef>
          </c:val>
          <c:extLst>
            <c:ext xmlns:c16="http://schemas.microsoft.com/office/drawing/2014/chart" uri="{C3380CC4-5D6E-409C-BE32-E72D297353CC}">
              <c16:uniqueId val="{00000000-EBD1-46F2-8075-42037CC47B28}"/>
            </c:ext>
          </c:extLst>
        </c:ser>
        <c:ser>
          <c:idx val="1"/>
          <c:order val="1"/>
          <c:tx>
            <c:strRef>
              <c:f>'[3]Data SU'!$A$8:$B$8</c:f>
              <c:strCache>
                <c:ptCount val="2"/>
                <c:pt idx="1">
                  <c:v>index* </c:v>
                </c:pt>
              </c:strCache>
            </c:strRef>
          </c:tx>
          <c:spPr>
            <a:solidFill>
              <a:schemeClr val="accent2"/>
            </a:solidFill>
            <a:ln>
              <a:noFill/>
            </a:ln>
            <a:effectLst/>
          </c:spPr>
          <c:val>
            <c:numRef>
              <c:f>'[3]Data SU'!$C$8:$H$8</c:f>
              <c:numCache>
                <c:formatCode>General</c:formatCode>
                <c:ptCount val="6"/>
                <c:pt idx="1">
                  <c:v>102.7</c:v>
                </c:pt>
                <c:pt idx="2">
                  <c:v>104.8</c:v>
                </c:pt>
                <c:pt idx="3">
                  <c:v>59.8</c:v>
                </c:pt>
                <c:pt idx="4">
                  <c:v>94.5</c:v>
                </c:pt>
                <c:pt idx="5">
                  <c:v>146.69999999999999</c:v>
                </c:pt>
              </c:numCache>
            </c:numRef>
          </c:val>
          <c:extLst>
            <c:ext xmlns:c16="http://schemas.microsoft.com/office/drawing/2014/chart" uri="{C3380CC4-5D6E-409C-BE32-E72D297353CC}">
              <c16:uniqueId val="{00000001-EBD1-46F2-8075-42037CC47B28}"/>
            </c:ext>
          </c:extLst>
        </c:ser>
        <c:ser>
          <c:idx val="2"/>
          <c:order val="2"/>
          <c:tx>
            <c:strRef>
              <c:f>'Data SU'!$A$11:$B$11</c:f>
              <c:strCache>
                <c:ptCount val="2"/>
                <c:pt idx="0">
                  <c:v>cestná doprava (bez MHD)</c:v>
                </c:pt>
                <c:pt idx="1">
                  <c:v>tis. osôb</c:v>
                </c:pt>
              </c:strCache>
            </c:strRef>
          </c:tx>
          <c:spPr>
            <a:solidFill>
              <a:schemeClr val="accent3"/>
            </a:solidFill>
            <a:ln>
              <a:noFill/>
            </a:ln>
            <a:effectLst/>
          </c:spPr>
          <c:val>
            <c:numRef>
              <c:f>'Data SU'!$C$11:$L$11</c:f>
              <c:numCache>
                <c:formatCode>###\ ###\ ###\ ##0</c:formatCode>
                <c:ptCount val="10"/>
                <c:pt idx="0">
                  <c:v>270123</c:v>
                </c:pt>
                <c:pt idx="1">
                  <c:v>262262</c:v>
                </c:pt>
                <c:pt idx="2">
                  <c:v>252175</c:v>
                </c:pt>
                <c:pt idx="3">
                  <c:v>259194</c:v>
                </c:pt>
                <c:pt idx="4">
                  <c:v>245731</c:v>
                </c:pt>
                <c:pt idx="5">
                  <c:v>242733</c:v>
                </c:pt>
                <c:pt idx="6">
                  <c:v>238886</c:v>
                </c:pt>
                <c:pt idx="7">
                  <c:v>156333</c:v>
                </c:pt>
                <c:pt idx="8">
                  <c:v>149826</c:v>
                </c:pt>
                <c:pt idx="9">
                  <c:v>166689</c:v>
                </c:pt>
              </c:numCache>
            </c:numRef>
          </c:val>
          <c:extLst>
            <c:ext xmlns:c16="http://schemas.microsoft.com/office/drawing/2014/chart" uri="{C3380CC4-5D6E-409C-BE32-E72D297353CC}">
              <c16:uniqueId val="{00000002-EBD1-46F2-8075-42037CC47B28}"/>
            </c:ext>
          </c:extLst>
        </c:ser>
        <c:ser>
          <c:idx val="3"/>
          <c:order val="3"/>
          <c:tx>
            <c:strRef>
              <c:f>'[3]Data SU'!$A$12:$B$12</c:f>
              <c:strCache>
                <c:ptCount val="2"/>
                <c:pt idx="1">
                  <c:v>index* </c:v>
                </c:pt>
              </c:strCache>
            </c:strRef>
          </c:tx>
          <c:spPr>
            <a:solidFill>
              <a:schemeClr val="accent4"/>
            </a:solidFill>
            <a:ln>
              <a:noFill/>
            </a:ln>
            <a:effectLst/>
          </c:spPr>
          <c:val>
            <c:numRef>
              <c:f>'[3]Data SU'!$C$12:$H$12</c:f>
              <c:numCache>
                <c:formatCode>General</c:formatCode>
                <c:ptCount val="6"/>
                <c:pt idx="1">
                  <c:v>99.8</c:v>
                </c:pt>
                <c:pt idx="2">
                  <c:v>99</c:v>
                </c:pt>
                <c:pt idx="3">
                  <c:v>65.400000000000006</c:v>
                </c:pt>
                <c:pt idx="4">
                  <c:v>95.6</c:v>
                </c:pt>
                <c:pt idx="5">
                  <c:v>131.69999999999999</c:v>
                </c:pt>
              </c:numCache>
            </c:numRef>
          </c:val>
          <c:extLst>
            <c:ext xmlns:c16="http://schemas.microsoft.com/office/drawing/2014/chart" uri="{C3380CC4-5D6E-409C-BE32-E72D297353CC}">
              <c16:uniqueId val="{00000003-EBD1-46F2-8075-42037CC47B28}"/>
            </c:ext>
          </c:extLst>
        </c:ser>
        <c:ser>
          <c:idx val="4"/>
          <c:order val="4"/>
          <c:tx>
            <c:strRef>
              <c:f>'Data SU'!$A$13:$B$13</c:f>
              <c:strCache>
                <c:ptCount val="2"/>
                <c:pt idx="0">
                  <c:v>mestská hromadná doprava</c:v>
                </c:pt>
                <c:pt idx="1">
                  <c:v>tis. osôb</c:v>
                </c:pt>
              </c:strCache>
            </c:strRef>
          </c:tx>
          <c:spPr>
            <a:solidFill>
              <a:schemeClr val="accent5"/>
            </a:solidFill>
            <a:ln>
              <a:noFill/>
            </a:ln>
            <a:effectLst/>
          </c:spPr>
          <c:val>
            <c:numRef>
              <c:f>'Data SU'!$C$13:$L$13</c:f>
              <c:numCache>
                <c:formatCode>###\ ###\ ###\ ##0</c:formatCode>
                <c:ptCount val="10"/>
                <c:pt idx="0">
                  <c:v>369323</c:v>
                </c:pt>
                <c:pt idx="1">
                  <c:v>380576</c:v>
                </c:pt>
                <c:pt idx="2">
                  <c:v>379468</c:v>
                </c:pt>
                <c:pt idx="3">
                  <c:v>377345</c:v>
                </c:pt>
                <c:pt idx="4">
                  <c:v>373101</c:v>
                </c:pt>
                <c:pt idx="5">
                  <c:v>374849</c:v>
                </c:pt>
                <c:pt idx="6">
                  <c:v>382662</c:v>
                </c:pt>
                <c:pt idx="7">
                  <c:v>283913</c:v>
                </c:pt>
                <c:pt idx="8">
                  <c:v>259459</c:v>
                </c:pt>
                <c:pt idx="9">
                  <c:v>373186</c:v>
                </c:pt>
              </c:numCache>
            </c:numRef>
          </c:val>
          <c:extLst>
            <c:ext xmlns:c16="http://schemas.microsoft.com/office/drawing/2014/chart" uri="{C3380CC4-5D6E-409C-BE32-E72D297353CC}">
              <c16:uniqueId val="{00000004-EBD1-46F2-8075-42037CC47B28}"/>
            </c:ext>
          </c:extLst>
        </c:ser>
        <c:ser>
          <c:idx val="5"/>
          <c:order val="5"/>
          <c:tx>
            <c:strRef>
              <c:f>'[3]Data SU'!$A$14:$B$14</c:f>
              <c:strCache>
                <c:ptCount val="2"/>
                <c:pt idx="1">
                  <c:v>index* </c:v>
                </c:pt>
              </c:strCache>
            </c:strRef>
          </c:tx>
          <c:spPr>
            <a:solidFill>
              <a:schemeClr val="accent6"/>
            </a:solidFill>
            <a:ln>
              <a:noFill/>
            </a:ln>
            <a:effectLst/>
          </c:spPr>
          <c:val>
            <c:numRef>
              <c:f>'[3]Data SU'!$C$14:$H$14</c:f>
              <c:numCache>
                <c:formatCode>General</c:formatCode>
                <c:ptCount val="6"/>
                <c:pt idx="1">
                  <c:v>100.6</c:v>
                </c:pt>
                <c:pt idx="2">
                  <c:v>102.2</c:v>
                </c:pt>
                <c:pt idx="3">
                  <c:v>74.5</c:v>
                </c:pt>
                <c:pt idx="4">
                  <c:v>91.2</c:v>
                </c:pt>
                <c:pt idx="5">
                  <c:v>133</c:v>
                </c:pt>
              </c:numCache>
            </c:numRef>
          </c:val>
          <c:extLst>
            <c:ext xmlns:c16="http://schemas.microsoft.com/office/drawing/2014/chart" uri="{C3380CC4-5D6E-409C-BE32-E72D297353CC}">
              <c16:uniqueId val="{00000005-EBD1-46F2-8075-42037CC47B28}"/>
            </c:ext>
          </c:extLst>
        </c:ser>
        <c:dLbls>
          <c:showLegendKey val="0"/>
          <c:showVal val="0"/>
          <c:showCatName val="0"/>
          <c:showSerName val="0"/>
          <c:showPercent val="0"/>
          <c:showBubbleSize val="0"/>
        </c:dLbls>
        <c:axId val="1110251295"/>
        <c:axId val="1051885311"/>
      </c:areaChart>
      <c:catAx>
        <c:axId val="1110251295"/>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051885311"/>
        <c:crosses val="autoZero"/>
        <c:auto val="1"/>
        <c:lblAlgn val="ctr"/>
        <c:lblOffset val="100"/>
        <c:noMultiLvlLbl val="0"/>
      </c:catAx>
      <c:valAx>
        <c:axId val="1051885311"/>
        <c:scaling>
          <c:orientation val="minMax"/>
        </c:scaling>
        <c:delete val="0"/>
        <c:axPos val="l"/>
        <c:majorGridlines>
          <c:spPr>
            <a:ln w="9525" cap="flat" cmpd="sng" algn="ctr">
              <a:solidFill>
                <a:schemeClr val="tx1">
                  <a:lumMod val="15000"/>
                  <a:lumOff val="85000"/>
                </a:schemeClr>
              </a:solidFill>
              <a:round/>
            </a:ln>
            <a:effectLst/>
          </c:spPr>
        </c:majorGridlines>
        <c:numFmt formatCode="###\ ###\ ###\ ##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110251295"/>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areaChart>
        <c:grouping val="stacked"/>
        <c:varyColors val="0"/>
        <c:ser>
          <c:idx val="0"/>
          <c:order val="0"/>
          <c:tx>
            <c:strRef>
              <c:f>'Data SU'!$A$21:$B$21</c:f>
              <c:strCache>
                <c:ptCount val="2"/>
                <c:pt idx="0">
                  <c:v>Železničná doprava</c:v>
                </c:pt>
                <c:pt idx="1">
                  <c:v>mil. oskm</c:v>
                </c:pt>
              </c:strCache>
            </c:strRef>
          </c:tx>
          <c:spPr>
            <a:solidFill>
              <a:schemeClr val="accent1"/>
            </a:solidFill>
            <a:ln>
              <a:noFill/>
            </a:ln>
            <a:effectLst/>
          </c:spPr>
          <c:val>
            <c:numRef>
              <c:f>'Data SU'!$G$21:$L$21</c:f>
              <c:numCache>
                <c:formatCode>###\ ###\ ###\ ##0</c:formatCode>
                <c:ptCount val="6"/>
                <c:pt idx="0">
                  <c:v>3873</c:v>
                </c:pt>
                <c:pt idx="1">
                  <c:v>3915</c:v>
                </c:pt>
                <c:pt idx="2">
                  <c:v>4093</c:v>
                </c:pt>
                <c:pt idx="3">
                  <c:v>2180</c:v>
                </c:pt>
                <c:pt idx="4">
                  <c:v>2052</c:v>
                </c:pt>
                <c:pt idx="5">
                  <c:v>3354</c:v>
                </c:pt>
              </c:numCache>
            </c:numRef>
          </c:val>
          <c:extLst>
            <c:ext xmlns:c16="http://schemas.microsoft.com/office/drawing/2014/chart" uri="{C3380CC4-5D6E-409C-BE32-E72D297353CC}">
              <c16:uniqueId val="{00000000-7300-4723-8F3E-CDA1059B10AD}"/>
            </c:ext>
          </c:extLst>
        </c:ser>
        <c:ser>
          <c:idx val="1"/>
          <c:order val="1"/>
          <c:tx>
            <c:strRef>
              <c:f>'[3]Data SU'!$A$22:$B$22</c:f>
              <c:strCache>
                <c:ptCount val="2"/>
                <c:pt idx="1">
                  <c:v>index* </c:v>
                </c:pt>
              </c:strCache>
            </c:strRef>
          </c:tx>
          <c:spPr>
            <a:solidFill>
              <a:schemeClr val="accent2"/>
            </a:solidFill>
            <a:ln>
              <a:noFill/>
            </a:ln>
            <a:effectLst/>
          </c:spPr>
          <c:val>
            <c:numRef>
              <c:f>'[3]Data SU'!$C$22:$H$22</c:f>
              <c:numCache>
                <c:formatCode>General</c:formatCode>
                <c:ptCount val="6"/>
                <c:pt idx="1">
                  <c:v>101.9</c:v>
                </c:pt>
                <c:pt idx="2">
                  <c:v>104.1</c:v>
                </c:pt>
                <c:pt idx="3">
                  <c:v>52.4</c:v>
                </c:pt>
                <c:pt idx="4">
                  <c:v>93.6</c:v>
                </c:pt>
                <c:pt idx="5">
                  <c:v>162.69999999999999</c:v>
                </c:pt>
              </c:numCache>
            </c:numRef>
          </c:val>
          <c:extLst>
            <c:ext xmlns:c16="http://schemas.microsoft.com/office/drawing/2014/chart" uri="{C3380CC4-5D6E-409C-BE32-E72D297353CC}">
              <c16:uniqueId val="{00000001-7300-4723-8F3E-CDA1059B10AD}"/>
            </c:ext>
          </c:extLst>
        </c:ser>
        <c:ser>
          <c:idx val="2"/>
          <c:order val="2"/>
          <c:tx>
            <c:strRef>
              <c:f>'Data SU'!$A$23:$B$23</c:f>
              <c:strCache>
                <c:ptCount val="2"/>
                <c:pt idx="0">
                  <c:v>Cestná doprava spolu
v tom</c:v>
                </c:pt>
                <c:pt idx="1">
                  <c:v>mil. oskm</c:v>
                </c:pt>
              </c:strCache>
            </c:strRef>
          </c:tx>
          <c:spPr>
            <a:solidFill>
              <a:schemeClr val="accent3"/>
            </a:solidFill>
            <a:ln>
              <a:noFill/>
            </a:ln>
            <a:effectLst/>
          </c:spPr>
          <c:val>
            <c:numRef>
              <c:f>'Data SU'!$G$23:$L$23</c:f>
              <c:numCache>
                <c:formatCode>###\ ###\ ###\ ##0</c:formatCode>
                <c:ptCount val="6"/>
                <c:pt idx="0">
                  <c:v>6349</c:v>
                </c:pt>
                <c:pt idx="1">
                  <c:v>6693</c:v>
                </c:pt>
                <c:pt idx="2">
                  <c:v>6708</c:v>
                </c:pt>
                <c:pt idx="3">
                  <c:v>4119</c:v>
                </c:pt>
                <c:pt idx="4">
                  <c:v>3615</c:v>
                </c:pt>
                <c:pt idx="5">
                  <c:v>4854</c:v>
                </c:pt>
              </c:numCache>
            </c:numRef>
          </c:val>
          <c:extLst>
            <c:ext xmlns:c16="http://schemas.microsoft.com/office/drawing/2014/chart" uri="{C3380CC4-5D6E-409C-BE32-E72D297353CC}">
              <c16:uniqueId val="{00000002-7300-4723-8F3E-CDA1059B10AD}"/>
            </c:ext>
          </c:extLst>
        </c:ser>
        <c:ser>
          <c:idx val="3"/>
          <c:order val="3"/>
          <c:tx>
            <c:strRef>
              <c:f>'[3]Data SU'!$A$24:$B$24</c:f>
              <c:strCache>
                <c:ptCount val="2"/>
                <c:pt idx="1">
                  <c:v>index* </c:v>
                </c:pt>
              </c:strCache>
            </c:strRef>
          </c:tx>
          <c:spPr>
            <a:solidFill>
              <a:schemeClr val="accent4"/>
            </a:solidFill>
            <a:ln>
              <a:noFill/>
            </a:ln>
            <a:effectLst/>
          </c:spPr>
          <c:val>
            <c:numRef>
              <c:f>'[3]Data SU'!$C$24:$H$24</c:f>
              <c:numCache>
                <c:formatCode>General</c:formatCode>
                <c:ptCount val="6"/>
                <c:pt idx="1">
                  <c:v>105.7</c:v>
                </c:pt>
                <c:pt idx="2">
                  <c:v>101.8</c:v>
                </c:pt>
                <c:pt idx="3">
                  <c:v>62.2</c:v>
                </c:pt>
                <c:pt idx="4">
                  <c:v>83.9</c:v>
                </c:pt>
                <c:pt idx="5">
                  <c:v>131.19999999999999</c:v>
                </c:pt>
              </c:numCache>
            </c:numRef>
          </c:val>
          <c:extLst>
            <c:ext xmlns:c16="http://schemas.microsoft.com/office/drawing/2014/chart" uri="{C3380CC4-5D6E-409C-BE32-E72D297353CC}">
              <c16:uniqueId val="{00000003-7300-4723-8F3E-CDA1059B10AD}"/>
            </c:ext>
          </c:extLst>
        </c:ser>
        <c:dLbls>
          <c:showLegendKey val="0"/>
          <c:showVal val="0"/>
          <c:showCatName val="0"/>
          <c:showSerName val="0"/>
          <c:showPercent val="0"/>
          <c:showBubbleSize val="0"/>
        </c:dLbls>
        <c:axId val="1103822015"/>
        <c:axId val="804758415"/>
      </c:areaChart>
      <c:catAx>
        <c:axId val="1103822015"/>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804758415"/>
        <c:crosses val="autoZero"/>
        <c:auto val="1"/>
        <c:lblAlgn val="ctr"/>
        <c:lblOffset val="100"/>
        <c:noMultiLvlLbl val="0"/>
      </c:catAx>
      <c:valAx>
        <c:axId val="804758415"/>
        <c:scaling>
          <c:orientation val="minMax"/>
        </c:scaling>
        <c:delete val="0"/>
        <c:axPos val="l"/>
        <c:majorGridlines>
          <c:spPr>
            <a:ln w="9525" cap="flat" cmpd="sng" algn="ctr">
              <a:solidFill>
                <a:schemeClr val="tx1">
                  <a:lumMod val="15000"/>
                  <a:lumOff val="85000"/>
                </a:schemeClr>
              </a:solidFill>
              <a:round/>
            </a:ln>
            <a:effectLst/>
          </c:spPr>
        </c:majorGridlines>
        <c:numFmt formatCode="###\ ###\ ###\ ##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103822015"/>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k-SK" sz="1200"/>
              <a:t>Cestná doprava</a:t>
            </a:r>
            <a:r>
              <a:rPr lang="sk-SK" sz="1200" baseline="0"/>
              <a:t> vs. MHD SR 2017-2022, výkony</a:t>
            </a:r>
            <a:endParaRPr lang="en-GB"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k-SK"/>
        </a:p>
      </c:txPr>
    </c:title>
    <c:autoTitleDeleted val="0"/>
    <c:plotArea>
      <c:layout/>
      <c:areaChart>
        <c:grouping val="stacked"/>
        <c:varyColors val="0"/>
        <c:ser>
          <c:idx val="0"/>
          <c:order val="0"/>
          <c:tx>
            <c:strRef>
              <c:f>'Data SU'!$A$25:$B$25</c:f>
              <c:strCache>
                <c:ptCount val="2"/>
                <c:pt idx="0">
                  <c:v>cestná doprava (bez MHD)</c:v>
                </c:pt>
                <c:pt idx="1">
                  <c:v>mil. oskm</c:v>
                </c:pt>
              </c:strCache>
            </c:strRef>
          </c:tx>
          <c:spPr>
            <a:solidFill>
              <a:schemeClr val="accent1"/>
            </a:solidFill>
            <a:ln>
              <a:noFill/>
            </a:ln>
            <a:effectLst/>
          </c:spPr>
          <c:val>
            <c:numRef>
              <c:f>'Data SU'!$C$25:$L$25</c:f>
              <c:numCache>
                <c:formatCode>###\ ###\ ###\ ##0</c:formatCode>
                <c:ptCount val="10"/>
                <c:pt idx="0">
                  <c:v>4388</c:v>
                </c:pt>
                <c:pt idx="1">
                  <c:v>4495</c:v>
                </c:pt>
                <c:pt idx="2">
                  <c:v>4499</c:v>
                </c:pt>
                <c:pt idx="3">
                  <c:v>4996</c:v>
                </c:pt>
                <c:pt idx="4">
                  <c:v>5060</c:v>
                </c:pt>
                <c:pt idx="5">
                  <c:v>5394</c:v>
                </c:pt>
                <c:pt idx="6">
                  <c:v>5381</c:v>
                </c:pt>
                <c:pt idx="7">
                  <c:v>3138</c:v>
                </c:pt>
                <c:pt idx="8">
                  <c:v>2684</c:v>
                </c:pt>
                <c:pt idx="9">
                  <c:v>3302</c:v>
                </c:pt>
              </c:numCache>
            </c:numRef>
          </c:val>
          <c:extLst>
            <c:ext xmlns:c16="http://schemas.microsoft.com/office/drawing/2014/chart" uri="{C3380CC4-5D6E-409C-BE32-E72D297353CC}">
              <c16:uniqueId val="{00000000-1CE1-4ACA-BDDA-AE49FC0388CD}"/>
            </c:ext>
          </c:extLst>
        </c:ser>
        <c:ser>
          <c:idx val="1"/>
          <c:order val="1"/>
          <c:tx>
            <c:strRef>
              <c:f>'[3]Data SU'!$A$26:$B$26</c:f>
              <c:strCache>
                <c:ptCount val="2"/>
                <c:pt idx="1">
                  <c:v>index* </c:v>
                </c:pt>
              </c:strCache>
            </c:strRef>
          </c:tx>
          <c:spPr>
            <a:solidFill>
              <a:schemeClr val="accent2"/>
            </a:solidFill>
            <a:ln>
              <a:noFill/>
            </a:ln>
            <a:effectLst/>
          </c:spPr>
          <c:val>
            <c:numRef>
              <c:f>'[3]Data SU'!$C$26:$H$26</c:f>
              <c:numCache>
                <c:formatCode>General</c:formatCode>
                <c:ptCount val="6"/>
                <c:pt idx="1">
                  <c:v>107.4</c:v>
                </c:pt>
                <c:pt idx="2">
                  <c:v>101.5</c:v>
                </c:pt>
                <c:pt idx="3">
                  <c:v>59.1</c:v>
                </c:pt>
                <c:pt idx="4">
                  <c:v>80.400000000000006</c:v>
                </c:pt>
                <c:pt idx="5">
                  <c:v>129.9</c:v>
                </c:pt>
              </c:numCache>
            </c:numRef>
          </c:val>
          <c:extLst>
            <c:ext xmlns:c16="http://schemas.microsoft.com/office/drawing/2014/chart" uri="{C3380CC4-5D6E-409C-BE32-E72D297353CC}">
              <c16:uniqueId val="{00000001-1CE1-4ACA-BDDA-AE49FC0388CD}"/>
            </c:ext>
          </c:extLst>
        </c:ser>
        <c:ser>
          <c:idx val="2"/>
          <c:order val="2"/>
          <c:tx>
            <c:strRef>
              <c:f>'Data SU'!$A$27:$B$27</c:f>
              <c:strCache>
                <c:ptCount val="2"/>
                <c:pt idx="0">
                  <c:v>mestská hromadná doprava</c:v>
                </c:pt>
                <c:pt idx="1">
                  <c:v>mil. oskm</c:v>
                </c:pt>
              </c:strCache>
            </c:strRef>
          </c:tx>
          <c:spPr>
            <a:solidFill>
              <a:schemeClr val="accent3"/>
            </a:solidFill>
            <a:ln>
              <a:noFill/>
            </a:ln>
            <a:effectLst/>
          </c:spPr>
          <c:val>
            <c:numRef>
              <c:f>'Data SU'!$C$27:$L$27</c:f>
              <c:numCache>
                <c:formatCode>###\ ###\ ###\ ##0</c:formatCode>
                <c:ptCount val="10"/>
                <c:pt idx="0">
                  <c:v>1145</c:v>
                </c:pt>
                <c:pt idx="1">
                  <c:v>1115</c:v>
                </c:pt>
                <c:pt idx="2">
                  <c:v>1119</c:v>
                </c:pt>
                <c:pt idx="3">
                  <c:v>1197</c:v>
                </c:pt>
                <c:pt idx="4">
                  <c:v>1289</c:v>
                </c:pt>
                <c:pt idx="5">
                  <c:v>1299</c:v>
                </c:pt>
                <c:pt idx="6">
                  <c:v>1327</c:v>
                </c:pt>
                <c:pt idx="7">
                  <c:v>981</c:v>
                </c:pt>
                <c:pt idx="8">
                  <c:v>931</c:v>
                </c:pt>
                <c:pt idx="9">
                  <c:v>1552</c:v>
                </c:pt>
              </c:numCache>
            </c:numRef>
          </c:val>
          <c:extLst>
            <c:ext xmlns:c16="http://schemas.microsoft.com/office/drawing/2014/chart" uri="{C3380CC4-5D6E-409C-BE32-E72D297353CC}">
              <c16:uniqueId val="{00000002-1CE1-4ACA-BDDA-AE49FC0388CD}"/>
            </c:ext>
          </c:extLst>
        </c:ser>
        <c:ser>
          <c:idx val="3"/>
          <c:order val="3"/>
          <c:tx>
            <c:strRef>
              <c:f>'[3]Data SU'!$A$28:$B$28</c:f>
              <c:strCache>
                <c:ptCount val="2"/>
                <c:pt idx="1">
                  <c:v>index* </c:v>
                </c:pt>
              </c:strCache>
            </c:strRef>
          </c:tx>
          <c:spPr>
            <a:solidFill>
              <a:schemeClr val="accent4"/>
            </a:solidFill>
            <a:ln>
              <a:noFill/>
            </a:ln>
            <a:effectLst/>
          </c:spPr>
          <c:val>
            <c:numRef>
              <c:f>'[3]Data SU'!$C$28:$H$28</c:f>
              <c:numCache>
                <c:formatCode>General</c:formatCode>
                <c:ptCount val="6"/>
                <c:pt idx="1">
                  <c:v>99.5</c:v>
                </c:pt>
                <c:pt idx="2">
                  <c:v>102.8</c:v>
                </c:pt>
                <c:pt idx="3">
                  <c:v>74.8</c:v>
                </c:pt>
                <c:pt idx="4">
                  <c:v>94.7</c:v>
                </c:pt>
                <c:pt idx="5">
                  <c:v>134.69999999999999</c:v>
                </c:pt>
              </c:numCache>
            </c:numRef>
          </c:val>
          <c:extLst>
            <c:ext xmlns:c16="http://schemas.microsoft.com/office/drawing/2014/chart" uri="{C3380CC4-5D6E-409C-BE32-E72D297353CC}">
              <c16:uniqueId val="{00000003-1CE1-4ACA-BDDA-AE49FC0388CD}"/>
            </c:ext>
          </c:extLst>
        </c:ser>
        <c:dLbls>
          <c:showLegendKey val="0"/>
          <c:showVal val="0"/>
          <c:showCatName val="0"/>
          <c:showSerName val="0"/>
          <c:showPercent val="0"/>
          <c:showBubbleSize val="0"/>
        </c:dLbls>
        <c:axId val="1107731327"/>
        <c:axId val="1051884351"/>
      </c:areaChart>
      <c:catAx>
        <c:axId val="1107731327"/>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051884351"/>
        <c:crosses val="autoZero"/>
        <c:auto val="1"/>
        <c:lblAlgn val="ctr"/>
        <c:lblOffset val="100"/>
        <c:noMultiLvlLbl val="0"/>
      </c:catAx>
      <c:valAx>
        <c:axId val="1051884351"/>
        <c:scaling>
          <c:orientation val="minMax"/>
        </c:scaling>
        <c:delete val="0"/>
        <c:axPos val="l"/>
        <c:majorGridlines>
          <c:spPr>
            <a:ln w="9525" cap="flat" cmpd="sng" algn="ctr">
              <a:solidFill>
                <a:schemeClr val="tx1">
                  <a:lumMod val="15000"/>
                  <a:lumOff val="85000"/>
                </a:schemeClr>
              </a:solidFill>
              <a:round/>
            </a:ln>
            <a:effectLst/>
          </c:spPr>
        </c:majorGridlines>
        <c:numFmt formatCode="###\ ###\ ###\ ##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107731327"/>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38</xdr:col>
      <xdr:colOff>167640</xdr:colOff>
      <xdr:row>11</xdr:row>
      <xdr:rowOff>102870</xdr:rowOff>
    </xdr:from>
    <xdr:to>
      <xdr:col>44</xdr:col>
      <xdr:colOff>304800</xdr:colOff>
      <xdr:row>27</xdr:row>
      <xdr:rowOff>45720</xdr:rowOff>
    </xdr:to>
    <xdr:graphicFrame macro="">
      <xdr:nvGraphicFramePr>
        <xdr:cNvPr id="8" name="Chart 1">
          <a:extLst>
            <a:ext uri="{FF2B5EF4-FFF2-40B4-BE49-F238E27FC236}">
              <a16:creationId xmlns:a16="http://schemas.microsoft.com/office/drawing/2014/main" id="{DB392C35-B36D-4BA5-B120-7C38708F74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38</xdr:col>
      <xdr:colOff>129540</xdr:colOff>
      <xdr:row>24</xdr:row>
      <xdr:rowOff>95250</xdr:rowOff>
    </xdr:from>
    <xdr:to>
      <xdr:col>45</xdr:col>
      <xdr:colOff>60960</xdr:colOff>
      <xdr:row>40</xdr:row>
      <xdr:rowOff>114300</xdr:rowOff>
    </xdr:to>
    <xdr:graphicFrame macro="">
      <xdr:nvGraphicFramePr>
        <xdr:cNvPr id="53" name="Chart 2">
          <a:extLst>
            <a:ext uri="{FF2B5EF4-FFF2-40B4-BE49-F238E27FC236}">
              <a16:creationId xmlns:a16="http://schemas.microsoft.com/office/drawing/2014/main" id="{175B8A95-CFAE-4282-801B-10E3D398CB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44</xdr:col>
      <xdr:colOff>350520</xdr:colOff>
      <xdr:row>11</xdr:row>
      <xdr:rowOff>64770</xdr:rowOff>
    </xdr:from>
    <xdr:to>
      <xdr:col>50</xdr:col>
      <xdr:colOff>594360</xdr:colOff>
      <xdr:row>26</xdr:row>
      <xdr:rowOff>7620</xdr:rowOff>
    </xdr:to>
    <xdr:graphicFrame macro="">
      <xdr:nvGraphicFramePr>
        <xdr:cNvPr id="52" name="Chart 3">
          <a:extLst>
            <a:ext uri="{FF2B5EF4-FFF2-40B4-BE49-F238E27FC236}">
              <a16:creationId xmlns:a16="http://schemas.microsoft.com/office/drawing/2014/main" id="{934258EA-7273-CA61-D0F7-2EA6DE2AC0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44</xdr:col>
      <xdr:colOff>350520</xdr:colOff>
      <xdr:row>8</xdr:row>
      <xdr:rowOff>0</xdr:rowOff>
    </xdr:from>
    <xdr:to>
      <xdr:col>50</xdr:col>
      <xdr:colOff>594360</xdr:colOff>
      <xdr:row>11</xdr:row>
      <xdr:rowOff>7620</xdr:rowOff>
    </xdr:to>
    <xdr:graphicFrame macro="">
      <xdr:nvGraphicFramePr>
        <xdr:cNvPr id="4" name="Chart 3">
          <a:extLst>
            <a:ext uri="{FF2B5EF4-FFF2-40B4-BE49-F238E27FC236}">
              <a16:creationId xmlns:a16="http://schemas.microsoft.com/office/drawing/2014/main" id="{328B6D1F-56CD-4A20-A61B-59EAF494AD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12</xdr:col>
      <xdr:colOff>365760</xdr:colOff>
      <xdr:row>0</xdr:row>
      <xdr:rowOff>179070</xdr:rowOff>
    </xdr:from>
    <xdr:to>
      <xdr:col>20</xdr:col>
      <xdr:colOff>60960</xdr:colOff>
      <xdr:row>20</xdr:row>
      <xdr:rowOff>118110</xdr:rowOff>
    </xdr:to>
    <xdr:graphicFrame macro="">
      <xdr:nvGraphicFramePr>
        <xdr:cNvPr id="2" name="Chart 1">
          <a:extLst>
            <a:ext uri="{FF2B5EF4-FFF2-40B4-BE49-F238E27FC236}">
              <a16:creationId xmlns:a16="http://schemas.microsoft.com/office/drawing/2014/main" id="{F48A8FE0-04A8-4B53-AA61-0C0414557E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45720</xdr:colOff>
      <xdr:row>1</xdr:row>
      <xdr:rowOff>15240</xdr:rowOff>
    </xdr:from>
    <xdr:to>
      <xdr:col>26</xdr:col>
      <xdr:colOff>495300</xdr:colOff>
      <xdr:row>20</xdr:row>
      <xdr:rowOff>38100</xdr:rowOff>
    </xdr:to>
    <xdr:graphicFrame macro="">
      <xdr:nvGraphicFramePr>
        <xdr:cNvPr id="3" name="Chart 2">
          <a:extLst>
            <a:ext uri="{FF2B5EF4-FFF2-40B4-BE49-F238E27FC236}">
              <a16:creationId xmlns:a16="http://schemas.microsoft.com/office/drawing/2014/main" id="{92F6A38C-63EE-425E-9513-1302043D8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213360</xdr:colOff>
      <xdr:row>1</xdr:row>
      <xdr:rowOff>3810</xdr:rowOff>
    </xdr:from>
    <xdr:to>
      <xdr:col>19</xdr:col>
      <xdr:colOff>518160</xdr:colOff>
      <xdr:row>20</xdr:row>
      <xdr:rowOff>125730</xdr:rowOff>
    </xdr:to>
    <xdr:graphicFrame macro="">
      <xdr:nvGraphicFramePr>
        <xdr:cNvPr id="4" name="Chart 3">
          <a:extLst>
            <a:ext uri="{FF2B5EF4-FFF2-40B4-BE49-F238E27FC236}">
              <a16:creationId xmlns:a16="http://schemas.microsoft.com/office/drawing/2014/main" id="{B47C96F2-7E09-4666-9F32-1825ED84F4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220980</xdr:colOff>
      <xdr:row>20</xdr:row>
      <xdr:rowOff>140970</xdr:rowOff>
    </xdr:from>
    <xdr:to>
      <xdr:col>19</xdr:col>
      <xdr:colOff>525780</xdr:colOff>
      <xdr:row>39</xdr:row>
      <xdr:rowOff>140970</xdr:rowOff>
    </xdr:to>
    <xdr:graphicFrame macro="">
      <xdr:nvGraphicFramePr>
        <xdr:cNvPr id="5" name="Chart 4">
          <a:extLst>
            <a:ext uri="{FF2B5EF4-FFF2-40B4-BE49-F238E27FC236}">
              <a16:creationId xmlns:a16="http://schemas.microsoft.com/office/drawing/2014/main" id="{EFDF2E0D-6D01-43FB-8357-324633BBFE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601980</xdr:colOff>
      <xdr:row>20</xdr:row>
      <xdr:rowOff>110490</xdr:rowOff>
    </xdr:from>
    <xdr:to>
      <xdr:col>27</xdr:col>
      <xdr:colOff>297180</xdr:colOff>
      <xdr:row>39</xdr:row>
      <xdr:rowOff>110490</xdr:rowOff>
    </xdr:to>
    <xdr:graphicFrame macro="">
      <xdr:nvGraphicFramePr>
        <xdr:cNvPr id="6" name="Chart 5">
          <a:extLst>
            <a:ext uri="{FF2B5EF4-FFF2-40B4-BE49-F238E27FC236}">
              <a16:creationId xmlns:a16="http://schemas.microsoft.com/office/drawing/2014/main" id="{E21FB8E3-12CA-45E7-8635-074D0B8816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205740</xdr:colOff>
      <xdr:row>20</xdr:row>
      <xdr:rowOff>175260</xdr:rowOff>
    </xdr:from>
    <xdr:to>
      <xdr:col>19</xdr:col>
      <xdr:colOff>510540</xdr:colOff>
      <xdr:row>39</xdr:row>
      <xdr:rowOff>179070</xdr:rowOff>
    </xdr:to>
    <xdr:graphicFrame macro="">
      <xdr:nvGraphicFramePr>
        <xdr:cNvPr id="7" name="Chart 6">
          <a:extLst>
            <a:ext uri="{FF2B5EF4-FFF2-40B4-BE49-F238E27FC236}">
              <a16:creationId xmlns:a16="http://schemas.microsoft.com/office/drawing/2014/main" id="{67BDE443-DCAB-459C-8FAE-B7BCBBA3C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C:/TransData/Tendre/TransData/Tendre/sites/SK-TSIProjectSKSC2022141-RechargeandRefuel-ProjectworkspaceCOMMON/Shared%20Documents/Project%20work%20space%20COMMON/02%20Deliverables/D3%20TO%20BE%20report/CBA/simplified-cba-calculator_RECHARGE.xlsm?CDDEEACD" TargetMode="External"/><Relationship Id="rId1" Type="http://schemas.openxmlformats.org/officeDocument/2006/relationships/externalLinkPath" Target="file:///\\CDDEEACD\simplified-cba-calculator_RECHARG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1"/>
      <sheetName val="D2gd"/>
      <sheetName val="D2"/>
      <sheetName val="Intro"/>
      <sheetName val="G.Asm"/>
      <sheetName val="O.1"/>
      <sheetName val="O.2"/>
      <sheetName val="O.3"/>
      <sheetName val="O.4"/>
      <sheetName val="O.5"/>
      <sheetName val="O.6"/>
      <sheetName val="Comp"/>
      <sheetName val="S&amp;S"/>
      <sheetName val="C&amp;R"/>
      <sheetName val="Asm W1 Costs"/>
      <sheetName val="Asm W1 Costs support"/>
      <sheetName val="Asm W2 ICL Project"/>
      <sheetName val="Asm W3 Revenue"/>
      <sheetName val="Asm"/>
      <sheetName val="Transpor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persons/person.xml><?xml version="1.0" encoding="utf-8"?>
<personList xmlns="http://schemas.microsoft.com/office/spreadsheetml/2018/threadedcomments" xmlns:x="http://schemas.openxmlformats.org/spreadsheetml/2006/main">
  <person displayName="Mraz, Rene" id="{04D416DD-6C9F-4445-8761-BC928DA83940}" userId="S::rmraz@kpmg.sk::ade79fb4-670c-4351-990e-561aa57f93b2" providerId="AD"/>
  <person displayName="Dernerova, Sandra" id="{853175CB-CA72-4788-BD6B-94E0C4BF6AB5}" userId="S::sdernerova@kpmg.sk::c1bf2162-8907-40aa-9ead-556f3afee540" providerId="AD"/>
</personList>
</file>

<file path=xl/tables/table1.xml><?xml version="1.0" encoding="utf-8"?>
<table xmlns="http://schemas.openxmlformats.org/spreadsheetml/2006/main" id="3" name="Tabuľka1" displayName="Tabuľka1" ref="B2:P79" totalsRowShown="0" headerRowDxfId="157" headerRowBorderDxfId="156" tableBorderDxfId="155" totalsRowBorderDxfId="154">
  <autoFilter ref="B2:P79"/>
  <sortState ref="B3:O24">
    <sortCondition sortBy="cellColor" ref="F2:F24" dxfId="153"/>
  </sortState>
  <tableColumns count="15">
    <tableColumn id="1" name="Dodávateľ" dataDxfId="152"/>
    <tableColumn id="2" name="Typ" dataDxfId="151"/>
    <tableColumn id="9" name="SR/kraj" dataDxfId="150"/>
    <tableColumn id="4" name="Dopravcovia" dataDxfId="149"/>
    <tableColumn id="12" name="Počet vozidiel (2022/2023) - zdroj prieskum, BID SK" dataDxfId="148"/>
    <tableColumn id="20" name="Počet obyvateľov v kraji (ŠÚ 2021), https://www.scitanie.sk/en/population/basic-results/number-of-population/SR/SK0/KR" dataDxfId="147"/>
    <tableColumn id="3" name="Počet obyvateľov v kraji/počet vozidiel" dataDxfId="146">
      <calculatedColumnFormula>Tabuľka1[[#This Row],[Počet obyvateľov v kraji (ŠÚ 2021), https://www.scitanie.sk/en/population/basic-results/number-of-population/SR/SK0/KR]]/Tabuľka1[[#This Row],[Počet vozidiel (2022/2023) - zdroj prieskum, BID SK]]</calculatedColumnFormula>
    </tableColumn>
    <tableColumn id="15" name="User charges - fares " dataDxfId="145"/>
    <tableColumn id="11" name="User charges - service fees" dataDxfId="144"/>
    <tableColumn id="5" name="Accidents" dataDxfId="143"/>
    <tableColumn id="6" name="Air pollution" dataDxfId="142"/>
    <tableColumn id="8" name="Climate change - GHG emissions" dataDxfId="141"/>
    <tableColumn id="18" name="Noise" dataDxfId="140"/>
    <tableColumn id="10" name="Value of time - passengers" dataDxfId="139"/>
    <tableColumn id="17" name="Value of time - operators" dataDxfId="138"/>
  </tableColumns>
  <tableStyleInfo name="TableStyleLight9" showFirstColumn="0" showLastColumn="0" showRowStripes="1" showColumnStripes="0"/>
</table>
</file>

<file path=xl/tables/table2.xml><?xml version="1.0" encoding="utf-8"?>
<table xmlns="http://schemas.openxmlformats.org/spreadsheetml/2006/main" id="4" name="Tabuľka15" displayName="Tabuľka15" ref="B4:AB70" totalsRowShown="0" headerRowDxfId="137" dataDxfId="135" headerRowBorderDxfId="136" tableBorderDxfId="134" totalsRowBorderDxfId="133">
  <autoFilter ref="B4:AB70">
    <filterColumn colId="2">
      <filters>
        <filter val="KSK"/>
        <filter val="NSK"/>
        <filter val="PSK"/>
        <filter val="TSK"/>
        <filter val="TTSK"/>
      </filters>
    </filterColumn>
  </autoFilter>
  <sortState ref="B5:O26">
    <sortCondition sortBy="cellColor" ref="F4:F26" dxfId="132"/>
  </sortState>
  <tableColumns count="27">
    <tableColumn id="1" name="Dodávateľ" dataDxfId="131"/>
    <tableColumn id="2" name="Typ" dataDxfId="130"/>
    <tableColumn id="9" name="SR/kraj" dataDxfId="129"/>
    <tableColumn id="4" name="Dopravcovia" dataDxfId="128"/>
    <tableColumn id="12" name="2012" dataDxfId="127"/>
    <tableColumn id="20" name="2013" dataDxfId="126"/>
    <tableColumn id="3" name="2014" dataDxfId="125"/>
    <tableColumn id="15" name="2015" dataDxfId="124"/>
    <tableColumn id="11" name="2016" dataDxfId="123"/>
    <tableColumn id="5" name="2017" dataDxfId="122"/>
    <tableColumn id="6" name="2018" dataDxfId="121"/>
    <tableColumn id="8" name="2019" dataDxfId="120"/>
    <tableColumn id="18" name="2020" dataDxfId="119"/>
    <tableColumn id="10" name="2021" dataDxfId="118"/>
    <tableColumn id="17" name="2022" dataDxfId="117"/>
    <tableColumn id="7" name="Priemer" dataDxfId="116"/>
    <tableColumn id="13" name="2023" dataDxfId="115">
      <calculatedColumnFormula>Tabuľka15[[#This Row],[2022]]+P5*Q140</calculatedColumnFormula>
    </tableColumn>
    <tableColumn id="14" name="2024" dataDxfId="114">
      <calculatedColumnFormula>R5+R5*Q140</calculatedColumnFormula>
    </tableColumn>
    <tableColumn id="16" name="2025" dataDxfId="113">
      <calculatedColumnFormula>S5+S5*R140</calculatedColumnFormula>
    </tableColumn>
    <tableColumn id="19" name="2026" dataDxfId="112">
      <calculatedColumnFormula>T5+T5*S140</calculatedColumnFormula>
    </tableColumn>
    <tableColumn id="21" name="2027" dataDxfId="111">
      <calculatedColumnFormula>U5+U5*T140</calculatedColumnFormula>
    </tableColumn>
    <tableColumn id="22" name="2028" dataDxfId="110">
      <calculatedColumnFormula>V5+V5*U140</calculatedColumnFormula>
    </tableColumn>
    <tableColumn id="23" name="2029" dataDxfId="109">
      <calculatedColumnFormula>W5+W5*V140</calculatedColumnFormula>
    </tableColumn>
    <tableColumn id="24" name="2030" dataDxfId="108">
      <calculatedColumnFormula>X5+X5*W140</calculatedColumnFormula>
    </tableColumn>
    <tableColumn id="25" name="2031" dataDxfId="107">
      <calculatedColumnFormula>Y5+Y5*X140</calculatedColumnFormula>
    </tableColumn>
    <tableColumn id="26" name="2032" dataDxfId="106">
      <calculatedColumnFormula>Z5+Z5*Y140</calculatedColumnFormula>
    </tableColumn>
    <tableColumn id="27" name="2033" dataDxfId="105">
      <calculatedColumnFormula>AA5+AA5*Z140</calculatedColumnFormula>
    </tableColumn>
  </tableColumns>
  <tableStyleInfo name="TableStyleLight9" showFirstColumn="0" showLastColumn="0" showRowStripes="1" showColumnStripes="0"/>
</table>
</file>

<file path=xl/tables/table3.xml><?xml version="1.0" encoding="utf-8"?>
<table xmlns="http://schemas.openxmlformats.org/spreadsheetml/2006/main" id="6" name="Tabuľka157" displayName="Tabuľka157" ref="B72:AB137" totalsRowShown="0" headerRowDxfId="104" dataDxfId="102" headerRowBorderDxfId="103" tableBorderDxfId="101" totalsRowBorderDxfId="100">
  <sortState ref="B73:O94">
    <sortCondition sortBy="cellColor" ref="F4:F26" dxfId="99"/>
  </sortState>
  <tableColumns count="27">
    <tableColumn id="1" name="Dodávateľ" dataDxfId="98"/>
    <tableColumn id="2" name="Typ" dataDxfId="97"/>
    <tableColumn id="9" name="SR/kraj" dataDxfId="96"/>
    <tableColumn id="4" name="Dopravcovia" dataDxfId="95"/>
    <tableColumn id="12" name="2012" dataDxfId="94"/>
    <tableColumn id="20" name="2013" dataDxfId="93">
      <calculatedColumnFormula>G5-F5</calculatedColumnFormula>
    </tableColumn>
    <tableColumn id="3" name="2014" dataDxfId="92">
      <calculatedColumnFormula>H5-G5</calculatedColumnFormula>
    </tableColumn>
    <tableColumn id="15" name="2015" dataDxfId="91">
      <calculatedColumnFormula>I5-H5</calculatedColumnFormula>
    </tableColumn>
    <tableColumn id="11" name="2016" dataDxfId="90">
      <calculatedColumnFormula>J5-I5</calculatedColumnFormula>
    </tableColumn>
    <tableColumn id="5" name="2017" dataDxfId="89">
      <calculatedColumnFormula>K5-J5</calculatedColumnFormula>
    </tableColumn>
    <tableColumn id="6" name="2018" dataDxfId="88">
      <calculatedColumnFormula>L5-K5</calculatedColumnFormula>
    </tableColumn>
    <tableColumn id="8" name="2019" dataDxfId="87">
      <calculatedColumnFormula>M5-L5</calculatedColumnFormula>
    </tableColumn>
    <tableColumn id="18" name="2020" dataDxfId="86">
      <calculatedColumnFormula>N5-M5</calculatedColumnFormula>
    </tableColumn>
    <tableColumn id="10" name="2021" dataDxfId="85">
      <calculatedColumnFormula>O5-N5</calculatedColumnFormula>
    </tableColumn>
    <tableColumn id="17" name="2022" dataDxfId="84">
      <calculatedColumnFormula>P5-O5</calculatedColumnFormula>
    </tableColumn>
    <tableColumn id="7" name="Priemer" dataDxfId="83">
      <calculatedColumnFormula>AVERAGE(Tabuľka157[[#This Row],[2013]:[2022]])</calculatedColumnFormula>
    </tableColumn>
    <tableColumn id="13" name="2023" dataDxfId="82"/>
    <tableColumn id="14" name="2024" dataDxfId="81"/>
    <tableColumn id="16" name="2025" dataDxfId="80"/>
    <tableColumn id="19" name="2026" dataDxfId="79"/>
    <tableColumn id="21" name="2027" dataDxfId="78"/>
    <tableColumn id="22" name="2028" dataDxfId="77"/>
    <tableColumn id="23" name="2029" dataDxfId="76"/>
    <tableColumn id="24" name="2030" dataDxfId="75"/>
    <tableColumn id="25" name="2031" dataDxfId="74"/>
    <tableColumn id="26" name="2032" dataDxfId="73"/>
    <tableColumn id="27" name="2033" dataDxfId="72"/>
  </tableColumns>
  <tableStyleInfo name="TableStyleLight9" showFirstColumn="0" showLastColumn="0" showRowStripes="1" showColumnStripes="0"/>
</table>
</file>

<file path=xl/tables/table4.xml><?xml version="1.0" encoding="utf-8"?>
<table xmlns="http://schemas.openxmlformats.org/spreadsheetml/2006/main" id="7" name="Tabuľka1578" displayName="Tabuľka1578" ref="B139:AB204" totalsRowShown="0" headerRowDxfId="71" dataDxfId="69" headerRowBorderDxfId="70" tableBorderDxfId="68" totalsRowBorderDxfId="67">
  <sortState ref="B140:O161">
    <sortCondition sortBy="cellColor" ref="F4:F26" dxfId="66"/>
  </sortState>
  <tableColumns count="27">
    <tableColumn id="1" name="Dodávateľ" dataDxfId="65"/>
    <tableColumn id="2" name="Typ" dataDxfId="64"/>
    <tableColumn id="9" name="SR/kraj" dataDxfId="63"/>
    <tableColumn id="4" name="Dopravcovia" dataDxfId="62"/>
    <tableColumn id="12" name="2012" dataDxfId="61"/>
    <tableColumn id="20" name="2013" dataDxfId="60">
      <calculatedColumnFormula>G73/F5</calculatedColumnFormula>
    </tableColumn>
    <tableColumn id="3" name="2014" dataDxfId="59">
      <calculatedColumnFormula>H73/G5</calculatedColumnFormula>
    </tableColumn>
    <tableColumn id="15" name="2015" dataDxfId="58">
      <calculatedColumnFormula>I73/H5</calculatedColumnFormula>
    </tableColumn>
    <tableColumn id="11" name="2016" dataDxfId="57">
      <calculatedColumnFormula>J73/I5</calculatedColumnFormula>
    </tableColumn>
    <tableColumn id="5" name="2017" dataDxfId="56">
      <calculatedColumnFormula>K73/J5</calculatedColumnFormula>
    </tableColumn>
    <tableColumn id="6" name="2018" dataDxfId="55">
      <calculatedColumnFormula>L73/K5</calculatedColumnFormula>
    </tableColumn>
    <tableColumn id="8" name="2019" dataDxfId="54">
      <calculatedColumnFormula>M73/L5</calculatedColumnFormula>
    </tableColumn>
    <tableColumn id="18" name="2020" dataDxfId="53">
      <calculatedColumnFormula>N73/M5</calculatedColumnFormula>
    </tableColumn>
    <tableColumn id="10" name="2021" dataDxfId="52">
      <calculatedColumnFormula>O73/N5</calculatedColumnFormula>
    </tableColumn>
    <tableColumn id="17" name="2022" dataDxfId="51">
      <calculatedColumnFormula>P73/O5</calculatedColumnFormula>
    </tableColumn>
    <tableColumn id="7" name="Priemer" dataDxfId="50">
      <calculatedColumnFormula>AVERAGE(Tabuľka1578[[#This Row],[2013]:[2022]])</calculatedColumnFormula>
    </tableColumn>
    <tableColumn id="13" name="2023" dataDxfId="49">
      <calculatedColumnFormula>Tabuľka1578[[#This Row],[Priemer]]</calculatedColumnFormula>
    </tableColumn>
    <tableColumn id="14" name="2024" dataDxfId="48">
      <calculatedColumnFormula>Tabuľka1578[[#This Row],[2023]]</calculatedColumnFormula>
    </tableColumn>
    <tableColumn id="16" name="2025" dataDxfId="47">
      <calculatedColumnFormula>Tabuľka1578[[#This Row],[2024]]</calculatedColumnFormula>
    </tableColumn>
    <tableColumn id="19" name="2026" dataDxfId="46">
      <calculatedColumnFormula>Tabuľka1578[[#This Row],[2025]]</calculatedColumnFormula>
    </tableColumn>
    <tableColumn id="21" name="2027" dataDxfId="45">
      <calculatedColumnFormula>Tabuľka1578[[#This Row],[2026]]</calculatedColumnFormula>
    </tableColumn>
    <tableColumn id="22" name="2028" dataDxfId="44">
      <calculatedColumnFormula>Tabuľka1578[[#This Row],[2027]]</calculatedColumnFormula>
    </tableColumn>
    <tableColumn id="23" name="2029" dataDxfId="43">
      <calculatedColumnFormula>Tabuľka1578[[#This Row],[2028]]</calculatedColumnFormula>
    </tableColumn>
    <tableColumn id="24" name="2030" dataDxfId="42">
      <calculatedColumnFormula>Tabuľka1578[[#This Row],[2029]]</calculatedColumnFormula>
    </tableColumn>
    <tableColumn id="25" name="2031" dataDxfId="41">
      <calculatedColumnFormula>Tabuľka1578[[#This Row],[2030]]</calculatedColumnFormula>
    </tableColumn>
    <tableColumn id="26" name="2032" dataDxfId="40">
      <calculatedColumnFormula>Tabuľka1578[[#This Row],[2031]]</calculatedColumnFormula>
    </tableColumn>
    <tableColumn id="27" name="2033" dataDxfId="39">
      <calculatedColumnFormula>Tabuľka1578[[#This Row],[2032]]</calculatedColumnFormula>
    </tableColumn>
  </tableColumns>
  <tableStyleInfo name="TableStyleLight9" showFirstColumn="0" showLastColumn="0" showRowStripes="1" showColumnStripes="0"/>
</table>
</file>

<file path=xl/tables/table5.xml><?xml version="1.0" encoding="utf-8"?>
<table xmlns="http://schemas.openxmlformats.org/spreadsheetml/2006/main" id="5" name="Tabuľka16" displayName="Tabuľka16" ref="B2:AH33" totalsRowShown="0" headerRowDxfId="38" dataDxfId="36" headerRowBorderDxfId="37" tableBorderDxfId="35" totalsRowBorderDxfId="34">
  <autoFilter ref="B2:AH33"/>
  <sortState ref="B3:AG28">
    <sortCondition sortBy="cellColor" ref="G2:G28" dxfId="33"/>
  </sortState>
  <tableColumns count="33">
    <tableColumn id="1" name="Dodávateľ" dataDxfId="32"/>
    <tableColumn id="34" name="Column1" dataDxfId="31"/>
    <tableColumn id="2" name="Typ" dataDxfId="30"/>
    <tableColumn id="9" name="SR/kraj" dataDxfId="29"/>
    <tableColumn id="4" name="Dopravcovia" dataDxfId="28"/>
    <tableColumn id="12" name="Počet vozidiel (2022, 2023)" dataDxfId="27"/>
    <tableColumn id="20" name="Počet vozidiel (priemer 2017-2023)" dataDxfId="26"/>
    <tableColumn id="3" name="Počet vozidiel (priemer 2017-2023)/Počet vozidiel v 2022,2023" dataDxfId="25"/>
    <tableColumn id="30" name="2,3,4 G " dataDxfId="24"/>
    <tableColumn id="29" name="GPS modul vo vozidle" dataDxfId="23"/>
    <tableColumn id="28" name="GPS centrálny monitoring" dataDxfId="22"/>
    <tableColumn id="27" name="Wifi router vo vozidle" dataDxfId="21"/>
    <tableColumn id="26" name="Wifi centrálny monitoring2" dataDxfId="20"/>
    <tableColumn id="25" name="BT vo vozidle2" dataDxfId="19"/>
    <tableColumn id="24" name="BT centrálny monitoring" dataDxfId="18"/>
    <tableColumn id="23" name="NFC čítačka kariet" dataDxfId="17"/>
    <tableColumn id="22" name="NFC centrálny monitoring2" dataDxfId="16"/>
    <tableColumn id="21" name="Kamery" dataDxfId="15"/>
    <tableColumn id="19" name="QR čítačka" dataDxfId="14"/>
    <tableColumn id="16" name="Tlačiareň" dataDxfId="13"/>
    <tableColumn id="14" name="Multifunkčné jednotky" dataDxfId="12"/>
    <tableColumn id="31" name="Smartboxy, označovače" dataDxfId="11"/>
    <tableColumn id="32" name="Počet čítačiek revízorov" dataDxfId="10"/>
    <tableColumn id="33" name="Životnosť čítačiek- priemer" dataDxfId="9"/>
    <tableColumn id="13" name="Ďalšie" dataDxfId="8"/>
    <tableColumn id="15" name="Štandady" dataDxfId="7"/>
    <tableColumn id="11" name="Column2" dataDxfId="6"/>
    <tableColumn id="5" name="Column3" dataDxfId="5"/>
    <tableColumn id="6" name="Column4" dataDxfId="4"/>
    <tableColumn id="8" name="Column5" dataDxfId="3"/>
    <tableColumn id="18" name="Column6" dataDxfId="2"/>
    <tableColumn id="10" name="Column7" dataDxfId="1"/>
    <tableColumn id="17" name="Column8"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16" dT="2024-04-17T07:14:14.45" personId="{853175CB-CA72-4788-BD6B-94E0C4BF6AB5}" id="{8F211E33-8665-41DA-8F8A-410DC9D41CCF}">
    <text>Variant A je bez nákupu zariadení</text>
  </threadedComment>
</ThreadedComments>
</file>

<file path=xl/threadedComments/threadedComment2.xml><?xml version="1.0" encoding="utf-8"?>
<ThreadedComments xmlns="http://schemas.microsoft.com/office/spreadsheetml/2018/threadedcomments" xmlns:x="http://schemas.openxmlformats.org/spreadsheetml/2006/main">
  <threadedComment ref="D85" dT="2024-02-12T14:57:44.60" personId="{853175CB-CA72-4788-BD6B-94E0C4BF6AB5}" id="{46A8E866-57FE-41ED-939C-84C9C9ACE615}">
    <text>Za rok 2026 len pol roka</text>
  </threadedComment>
  <threadedComment ref="D155" dT="2024-02-13T10:57:43.54" personId="{853175CB-CA72-4788-BD6B-94E0C4BF6AB5}" id="{B11CB7B5-2F56-4701-BD62-1B258E0E211D}">
    <text>V roku 2026 rátať len polovicu (6 mesiacov)</text>
  </threadedComment>
  <threadedComment ref="D338" dT="2024-02-13T10:57:43.54" personId="{853175CB-CA72-4788-BD6B-94E0C4BF6AB5}" id="{E961B73B-04CC-44E6-9DA7-B502D6D6F31E}">
    <text>V roku 2026 rátať len polovicu (6 mesiacov)</text>
  </threadedComment>
  <threadedComment ref="D391" dT="2024-02-13T10:57:55.56" personId="{853175CB-CA72-4788-BD6B-94E0C4BF6AB5}" id="{2BB238BD-3B38-4938-816F-3484A13CEB10}">
    <text>V roku 2026 rátať len polovicu (6 mesiacov)</text>
  </threadedComment>
  <threadedComment ref="D444" dT="2024-02-13T10:58:05.22" personId="{853175CB-CA72-4788-BD6B-94E0C4BF6AB5}" id="{8D1C267A-45D6-4996-9217-FDFE537B2954}">
    <text>V roku 2026 rátať len polovicu (6 mesiacov)</text>
  </threadedComment>
</ThreadedComments>
</file>

<file path=xl/threadedComments/threadedComment3.xml><?xml version="1.0" encoding="utf-8"?>
<ThreadedComments xmlns="http://schemas.microsoft.com/office/spreadsheetml/2018/threadedcomments" xmlns:x="http://schemas.openxmlformats.org/spreadsheetml/2006/main">
  <threadedComment ref="A2" dT="2023-12-21T13:58:13.10" personId="{853175CB-CA72-4788-BD6B-94E0C4BF6AB5}" id="{67A960DC-7116-4432-AA5C-7A03D92B197A}">
    <text xml:space="preserve">Existujúce dáta
Projekcia (modelovanie)
</text>
  </threadedComment>
  <threadedComment ref="A111" dT="2023-12-21T13:58:13.10" personId="{853175CB-CA72-4788-BD6B-94E0C4BF6AB5}" id="{194BAF19-CBE5-4344-8EBF-9E72F1377468}">
    <text xml:space="preserve">Existujúce dáta
Projekcia (modelovanie)
</text>
  </threadedComment>
</ThreadedComments>
</file>

<file path=xl/threadedComments/threadedComment4.xml><?xml version="1.0" encoding="utf-8"?>
<ThreadedComments xmlns="http://schemas.microsoft.com/office/spreadsheetml/2018/threadedcomments" xmlns:x="http://schemas.openxmlformats.org/spreadsheetml/2006/main">
  <threadedComment ref="W82" dT="2024-01-23T12:30:00.98" personId="{04D416DD-6C9F-4445-8761-BC928DA83940}" id="{EE8DE9C0-99B4-4887-8406-44ADC253EAD7}">
    <text>Priemer poklesu za r. 2018 a 2019</text>
  </threadedComment>
</ThreadedComments>
</file>

<file path=xl/threadedComments/threadedComment5.xml><?xml version="1.0" encoding="utf-8"?>
<ThreadedComments xmlns="http://schemas.microsoft.com/office/spreadsheetml/2018/threadedcomments" xmlns:x="http://schemas.openxmlformats.org/spreadsheetml/2006/main">
  <threadedComment ref="R22" dT="2024-01-16T14:26:47.35" personId="{04D416DD-6C9F-4445-8761-BC928DA83940}" id="{1A8190F5-422F-4684-9124-768E04A317EE}">
    <text>Odhad z údajov do okt. 2023</text>
  </threadedComment>
</ThreadedComments>
</file>

<file path=xl/threadedComments/threadedComment6.xml><?xml version="1.0" encoding="utf-8"?>
<ThreadedComments xmlns="http://schemas.microsoft.com/office/spreadsheetml/2018/threadedcomments" xmlns:x="http://schemas.openxmlformats.org/spreadsheetml/2006/main">
  <threadedComment ref="R22" dT="2024-01-16T14:28:57.95" personId="{04D416DD-6C9F-4445-8761-BC928DA83940}" id="{C10D9572-7F7F-400B-A491-E59591B66F6E}">
    <text>Odhad z údajov do okt. 2023</text>
  </threadedComment>
</ThreadedComments>
</file>

<file path=xl/threadedComments/threadedComment7.xml><?xml version="1.0" encoding="utf-8"?>
<ThreadedComments xmlns="http://schemas.microsoft.com/office/spreadsheetml/2018/threadedcomments" xmlns:x="http://schemas.openxmlformats.org/spreadsheetml/2006/main">
  <threadedComment ref="K23" dT="2024-01-16T14:30:30.27" personId="{04D416DD-6C9F-4445-8761-BC928DA83940}" id="{E8035ABA-1D7A-4FA9-819C-95B22B675486}">
    <text>Odhad z údajov do okt. 2023</text>
  </threadedComment>
</ThreadedComments>
</file>

<file path=xl/threadedComments/threadedComment8.xml><?xml version="1.0" encoding="utf-8"?>
<ThreadedComments xmlns="http://schemas.microsoft.com/office/spreadsheetml/2018/threadedcomments" xmlns:x="http://schemas.openxmlformats.org/spreadsheetml/2006/main">
  <threadedComment ref="K22" dT="2024-01-16T14:32:15.99" personId="{04D416DD-6C9F-4445-8761-BC928DA83940}" id="{F6A9B06A-3BFD-41C1-9AF4-C9E771041489}">
    <text>Odhad z údajov do okt. 2023</text>
  </threadedComment>
  <threadedComment ref="K93" dT="2024-01-16T14:26:47.35" personId="{04D416DD-6C9F-4445-8761-BC928DA83940}" id="{EF634D90-E450-4C95-A9B1-D9CC7BA9C42E}">
    <text>Odhad z údajov do okt. 2023</text>
  </threadedComment>
</ThreadedComments>
</file>

<file path=xl/threadedComments/threadedComment9.xml><?xml version="1.0" encoding="utf-8"?>
<ThreadedComments xmlns="http://schemas.microsoft.com/office/spreadsheetml/2018/threadedcomments" xmlns:x="http://schemas.openxmlformats.org/spreadsheetml/2006/main">
  <threadedComment ref="R41" dT="2024-02-14T22:39:21.87" personId="{853175CB-CA72-4788-BD6B-94E0C4BF6AB5}" id="{8076F6A5-B136-48E0-BDE1-AFB1AF63D41C}">
    <text>Zahrnúť aj multimode?</text>
  </threadedComment>
  <threadedComment ref="R54" dT="2024-02-14T22:39:21.87" personId="{853175CB-CA72-4788-BD6B-94E0C4BF6AB5}" id="{FF6E49CB-1EA5-4F01-AE18-19BC9E039E77}">
    <text>Zahrnúť aj multimode?</text>
  </threadedComment>
  <threadedComment ref="F58" dT="2024-02-13T12:30:34.05" personId="{853175CB-CA72-4788-BD6B-94E0C4BF6AB5}" id="{4E181BD9-765D-4064-94F9-0DCC34669CB1}">
    <text>WiFi nie je použité v žiadnom variante</text>
  </threadedComment>
  <threadedComment ref="R68" dT="2024-02-14T22:39:21.87" personId="{853175CB-CA72-4788-BD6B-94E0C4BF6AB5}" id="{26B77C69-F697-47D2-AD29-AF0ECC409009}">
    <text>Zahrnúť aj multimode?</text>
  </threadedComment>
  <threadedComment ref="F72" dT="2024-02-13T12:30:34.05" personId="{853175CB-CA72-4788-BD6B-94E0C4BF6AB5}" id="{C96ADE2E-F2E9-4E18-9160-41DDC68311E3}">
    <text>WiFi nie je použité v žiadnom variante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microsoft.com/office/2017/10/relationships/threadedComment" Target="../threadedComments/threadedComment2.xml"/><Relationship Id="rId3" Type="http://schemas.openxmlformats.org/officeDocument/2006/relationships/hyperlink" Target="https://www.google.com/url?sa=t&amp;rct=j&amp;q=&amp;esrc=s&amp;source=web&amp;cd=&amp;ved=2ahUKEwjC7_r3k4WEAxUi0wIHHT3MBh8QFnoECBsQAQ&amp;url=https%3A%2F%2Fec.europa.eu%2Finfo%2Ffunding-tenders%2Fopportunities%2Fdocs%2F2021-2027%2Fcef%2Ftemp-form%2Faf%2Fsimplified-cba-calculator_cef-t_en.xlsm&amp;usg=AOvVaw1cveIUiZGykbWgnGcNrhl5&amp;opi=89978449" TargetMode="External"/><Relationship Id="rId7" Type="http://schemas.openxmlformats.org/officeDocument/2006/relationships/comments" Target="../comments4.xml"/><Relationship Id="rId2" Type="http://schemas.openxmlformats.org/officeDocument/2006/relationships/hyperlink" Target="https://cinea.ec.europa.eu/system/files/2021-10/Simplified%20Cost-Benefit%20Analysis.pdf" TargetMode="External"/><Relationship Id="rId1" Type="http://schemas.openxmlformats.org/officeDocument/2006/relationships/hyperlink" Target="https://jaspers.eib.org/activitiesNP/2022/Economic-Appraisal-methodologies-and-CPR-requirements-in-the-2021-27-period/5%20-%20CBA%20Excel%20tool%20by%20CINEA_10-11-2022%20final.pdf" TargetMode="External"/><Relationship Id="rId6" Type="http://schemas.openxmlformats.org/officeDocument/2006/relationships/vmlDrawing" Target="../drawings/vmlDrawing4.vml"/><Relationship Id="rId5" Type="http://schemas.openxmlformats.org/officeDocument/2006/relationships/printerSettings" Target="../printerSettings/printerSettings17.bin"/><Relationship Id="rId4" Type="http://schemas.openxmlformats.org/officeDocument/2006/relationships/hyperlink" Target="https://www.urbantransportgroup.org/system/files/general-docs/integratedticketingreportFINALOct09.pdf" TargetMode="External"/></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2.xml.rels><?xml version="1.0" encoding="UTF-8" standalone="yes"?>
<Relationships xmlns="http://schemas.openxmlformats.org/package/2006/relationships"><Relationship Id="rId1" Type="http://schemas.openxmlformats.org/officeDocument/2006/relationships/hyperlink" Target="https://datacube.statistics.sk/" TargetMode="External"/></Relationships>
</file>

<file path=xl/worksheets/_rels/sheet23.xml.rels><?xml version="1.0" encoding="UTF-8" standalone="yes"?>
<Relationships xmlns="http://schemas.openxmlformats.org/package/2006/relationships"><Relationship Id="rId1" Type="http://schemas.openxmlformats.org/officeDocument/2006/relationships/hyperlink" Target="https://datacube.statistics.sk/" TargetMode="Externa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8.bin"/><Relationship Id="rId1" Type="http://schemas.openxmlformats.org/officeDocument/2006/relationships/hyperlink" Target="https://datacube.statistics.sk/" TargetMode="External"/><Relationship Id="rId5" Type="http://schemas.microsoft.com/office/2017/10/relationships/threadedComment" Target="../threadedComments/threadedComment4.xml"/><Relationship Id="rId4" Type="http://schemas.openxmlformats.org/officeDocument/2006/relationships/comments" Target="../comments6.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datacube.statistics.sk/"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3.bin"/><Relationship Id="rId4" Type="http://schemas.microsoft.com/office/2017/10/relationships/threadedComment" Target="../threadedComments/threadedComment5.xml"/></Relationships>
</file>

<file path=xl/worksheets/_rels/sheet3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24.bin"/><Relationship Id="rId4" Type="http://schemas.microsoft.com/office/2017/10/relationships/threadedComment" Target="../threadedComments/threadedComment6.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26.bin"/><Relationship Id="rId4" Type="http://schemas.microsoft.com/office/2017/10/relationships/threadedComment" Target="../threadedComments/threadedComment7.xml"/></Relationships>
</file>

<file path=xl/worksheets/_rels/sheet33.xml.rels><?xml version="1.0" encoding="UTF-8" standalone="yes"?>
<Relationships xmlns="http://schemas.openxmlformats.org/package/2006/relationships"><Relationship Id="rId3" Type="http://schemas.openxmlformats.org/officeDocument/2006/relationships/hyperlink" Target="https://www.dpmz.sk/vyrocne-spravy/" TargetMode="External"/><Relationship Id="rId7" Type="http://schemas.microsoft.com/office/2017/10/relationships/threadedComment" Target="../threadedComments/threadedComment8.xml"/><Relationship Id="rId2" Type="http://schemas.openxmlformats.org/officeDocument/2006/relationships/hyperlink" Target="https://www.dpmk.sk/dpmk/vyrocne-spravy" TargetMode="External"/><Relationship Id="rId1" Type="http://schemas.openxmlformats.org/officeDocument/2006/relationships/hyperlink" Target="https://imhd.sk/ba/doc/sk/10201/Prevadzkove-udaje-MHD-v-Bratislave.html" TargetMode="External"/><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printerSettings" Target="../printerSettings/printerSettings27.bin"/></Relationships>
</file>

<file path=xl/worksheets/_rels/sheet34.xml.rels><?xml version="1.0" encoding="UTF-8" standalone="yes"?>
<Relationships xmlns="http://schemas.openxmlformats.org/package/2006/relationships"><Relationship Id="rId3" Type="http://schemas.openxmlformats.org/officeDocument/2006/relationships/hyperlink" Target="https://www.topky.sk/cl/10/2694225/V-osobnej-doprave-sa-v-roku-2023-prepravilo-medzirocne-o-12-6---viac-osob" TargetMode="External"/><Relationship Id="rId2" Type="http://schemas.openxmlformats.org/officeDocument/2006/relationships/hyperlink" Target="https://www.zssk.sk/o-spolocnosti/vyrocna-sprava/" TargetMode="External"/><Relationship Id="rId1" Type="http://schemas.openxmlformats.org/officeDocument/2006/relationships/hyperlink" Target="https://datacube.statistics.sk/" TargetMode="External"/><Relationship Id="rId5" Type="http://schemas.openxmlformats.org/officeDocument/2006/relationships/drawing" Target="../drawings/drawing1.xml"/><Relationship Id="rId4" Type="http://schemas.openxmlformats.org/officeDocument/2006/relationships/printerSettings" Target="../printerSettings/printerSettings28.bin"/></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hyperlink" Target="https://euractiv.sk/section/ovzdusie/news/bloomberg-v-roku-2040-bude-polovica-predavanych-aut-elektrickych/" TargetMode="External"/><Relationship Id="rId1" Type="http://schemas.openxmlformats.org/officeDocument/2006/relationships/hyperlink" Target="https://www.statista.com/statistics/437277/passengers-transported-by-private-car-in-slovakia/" TargetMode="External"/><Relationship Id="rId4" Type="http://schemas.openxmlformats.org/officeDocument/2006/relationships/drawing" Target="../drawings/drawing2.xml"/></Relationships>
</file>

<file path=xl/worksheets/_rels/sheet36.xml.rels><?xml version="1.0" encoding="UTF-8" standalone="yes"?>
<Relationships xmlns="http://schemas.openxmlformats.org/package/2006/relationships"><Relationship Id="rId3" Type="http://schemas.openxmlformats.org/officeDocument/2006/relationships/hyperlink" Target="https://www.urbantransportgroup.org/system/files/general-docs/integratedticketingreportFINALOct09.pdf" TargetMode="External"/><Relationship Id="rId7" Type="http://schemas.openxmlformats.org/officeDocument/2006/relationships/hyperlink" Target="https://www.itf-oecd.org/node/25118" TargetMode="External"/><Relationship Id="rId2" Type="http://schemas.openxmlformats.org/officeDocument/2006/relationships/hyperlink" Target="https://www.urbantransportgroup.org/system/files/general-docs/integratedticketingreportFINALOct09.pdf" TargetMode="External"/><Relationship Id="rId1" Type="http://schemas.openxmlformats.org/officeDocument/2006/relationships/hyperlink" Target="https://www.sciencedirect.com/science/article/abs/pii/S0967070X98000249?via%3Dihub" TargetMode="External"/><Relationship Id="rId6" Type="http://schemas.openxmlformats.org/officeDocument/2006/relationships/hyperlink" Target="https://www.itf-oecd.org/node/25118" TargetMode="External"/><Relationship Id="rId5" Type="http://schemas.openxmlformats.org/officeDocument/2006/relationships/hyperlink" Target="https://www.transport.gov.scot/publication/smart-integrated-ticketing-report-for-scotland/" TargetMode="External"/><Relationship Id="rId4" Type="http://schemas.openxmlformats.org/officeDocument/2006/relationships/hyperlink" Target="https://www.urbantransportgroup.org/system/files/general-docs/integratedticketingreportFINALOct09.pdf"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s://www.urbantransportgroup.org/system/files/general-docs/integratedticketingreportFINALOct09.pdf" TargetMode="External"/><Relationship Id="rId2" Type="http://schemas.openxmlformats.org/officeDocument/2006/relationships/hyperlink" Target="https://www.urbantransportgroup.org/system/files/general-docs/integratedticketingreportFINALOct09.pdf" TargetMode="External"/><Relationship Id="rId1" Type="http://schemas.openxmlformats.org/officeDocument/2006/relationships/hyperlink" Target="https://www.urbantransportgroup.org/system/files/general-docs/integratedticketingreportFINALOct09.pdf"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s://datacube.statistics.sk/" TargetMode="External"/><Relationship Id="rId3" Type="http://schemas.openxmlformats.org/officeDocument/2006/relationships/hyperlink" Target="https://www.trend.sk/spravy/bratislavskom-kraji-zvysuje-cena-cestovnych-listkov-priplatime-aj-pokuty" TargetMode="External"/><Relationship Id="rId7" Type="http://schemas.openxmlformats.org/officeDocument/2006/relationships/hyperlink" Target="https://datacube.statistics.sk/" TargetMode="External"/><Relationship Id="rId2" Type="http://schemas.openxmlformats.org/officeDocument/2006/relationships/hyperlink" Target="https://spravy.pravda.sk/regiony/clanok/667071-zdrazovanie-autobusovych-listkov-zistovali-sme-kde-stoja-najviac/" TargetMode="External"/><Relationship Id="rId1" Type="http://schemas.openxmlformats.org/officeDocument/2006/relationships/hyperlink" Target="https://www.trend.sk/spravy/bratislavskom-kraji-zvysuje-cena-cestovnych-listkov-priplatime-aj-pokuty" TargetMode="External"/><Relationship Id="rId6" Type="http://schemas.openxmlformats.org/officeDocument/2006/relationships/hyperlink" Target="https://sobotnik.sk/2023/03/bbsk-po-vyse-desiatich-rokoch-upravuje-od-1-aprila-ceny-cestovneho/" TargetMode="External"/><Relationship Id="rId5" Type="http://schemas.openxmlformats.org/officeDocument/2006/relationships/hyperlink" Target="https://spravy.pravda.sk/regiony/clanok/667071-zdrazovanie-autobusovych-listkov-zistovali-sme-kde-stoja-najviac/" TargetMode="External"/><Relationship Id="rId4" Type="http://schemas.openxmlformats.org/officeDocument/2006/relationships/hyperlink" Target="https://spravy.pravda.sk/regiony/clanok/667071-zdrazovanie-autobusovych-listkov-zistovali-sme-kde-stoja-najviac/" TargetMode="External"/><Relationship Id="rId9" Type="http://schemas.openxmlformats.org/officeDocument/2006/relationships/hyperlink" Target="https://datacube.statistics.s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1.bin"/></Relationships>
</file>

<file path=xl/worksheets/_rels/sheet4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2.bin"/><Relationship Id="rId1" Type="http://schemas.openxmlformats.org/officeDocument/2006/relationships/hyperlink" Target="https://datacube.statistics.sk/" TargetMode="External"/><Relationship Id="rId5" Type="http://schemas.openxmlformats.org/officeDocument/2006/relationships/table" Target="../tables/table4.xml"/><Relationship Id="rId4" Type="http://schemas.openxmlformats.org/officeDocument/2006/relationships/table" Target="../tables/table3.xml"/></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hyperlink" Target="https://datacube.statistics.sk/" TargetMode="External"/><Relationship Id="rId1" Type="http://schemas.openxmlformats.org/officeDocument/2006/relationships/hyperlink" Target="https://datacube.statistics.sk/" TargetMode="External"/><Relationship Id="rId4"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11.vml"/><Relationship Id="rId1" Type="http://schemas.openxmlformats.org/officeDocument/2006/relationships/printerSettings" Target="../printerSettings/printerSettings34.bin"/><Relationship Id="rId5" Type="http://schemas.microsoft.com/office/2017/10/relationships/threadedComment" Target="../threadedComments/threadedComment9.xml"/><Relationship Id="rId4" Type="http://schemas.openxmlformats.org/officeDocument/2006/relationships/comments" Target="../comments1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2"/>
  <sheetViews>
    <sheetView zoomScaleNormal="100" workbookViewId="0">
      <selection activeCell="B6" sqref="B6"/>
    </sheetView>
  </sheetViews>
  <sheetFormatPr defaultColWidth="8.85546875" defaultRowHeight="12.75"/>
  <cols>
    <col min="1" max="1" width="3.28515625" style="1538" customWidth="1"/>
    <col min="2" max="2" width="32.28515625" style="1538" bestFit="1" customWidth="1"/>
    <col min="3" max="3" width="97.140625" style="1538" bestFit="1" customWidth="1"/>
    <col min="4" max="4" width="8.85546875" style="1538"/>
    <col min="5" max="5" width="21.28515625" style="1538" customWidth="1"/>
    <col min="6" max="8" width="8.85546875" style="1538"/>
    <col min="9" max="9" width="10.28515625" style="1538" bestFit="1" customWidth="1"/>
    <col min="10" max="16384" width="8.85546875" style="1538"/>
  </cols>
  <sheetData>
    <row r="1" spans="2:5" s="1537" customFormat="1">
      <c r="B1" s="1537" t="s">
        <v>195</v>
      </c>
      <c r="C1" s="1537" t="s">
        <v>523</v>
      </c>
      <c r="D1" s="1537" t="s">
        <v>537</v>
      </c>
      <c r="E1" s="1537" t="s">
        <v>930</v>
      </c>
    </row>
    <row r="2" spans="2:5" s="1537" customFormat="1" ht="15">
      <c r="B2" s="1554" t="s">
        <v>1691</v>
      </c>
      <c r="C2" s="1538" t="s">
        <v>1692</v>
      </c>
    </row>
    <row r="3" spans="2:5">
      <c r="B3" s="1550" t="s">
        <v>713</v>
      </c>
      <c r="C3" s="1538" t="s">
        <v>598</v>
      </c>
    </row>
    <row r="4" spans="2:5">
      <c r="B4" s="1555" t="s">
        <v>1700</v>
      </c>
      <c r="C4" s="1538" t="s">
        <v>714</v>
      </c>
    </row>
    <row r="5" spans="2:5">
      <c r="B5" s="1555" t="s">
        <v>1701</v>
      </c>
      <c r="C5" s="1538" t="s">
        <v>715</v>
      </c>
    </row>
    <row r="6" spans="2:5">
      <c r="B6" s="1551" t="s">
        <v>531</v>
      </c>
      <c r="C6" s="1538" t="s">
        <v>413</v>
      </c>
    </row>
    <row r="7" spans="2:5">
      <c r="B7" s="1552" t="s">
        <v>480</v>
      </c>
      <c r="C7" s="1538" t="s">
        <v>1695</v>
      </c>
    </row>
    <row r="8" spans="2:5">
      <c r="B8" s="1552" t="s">
        <v>1693</v>
      </c>
      <c r="C8" s="1538" t="s">
        <v>1696</v>
      </c>
    </row>
    <row r="9" spans="2:5" ht="15">
      <c r="B9" s="1553" t="s">
        <v>1699</v>
      </c>
      <c r="C9" s="1538" t="s">
        <v>1698</v>
      </c>
    </row>
    <row r="10" spans="2:5" ht="15">
      <c r="B10" s="1553" t="s">
        <v>1694</v>
      </c>
      <c r="C10" s="1538" t="s">
        <v>1697</v>
      </c>
    </row>
    <row r="11" spans="2:5">
      <c r="B11" s="1539" t="s">
        <v>495</v>
      </c>
      <c r="C11" s="1538" t="s">
        <v>423</v>
      </c>
      <c r="D11" s="1538" t="s">
        <v>16</v>
      </c>
    </row>
    <row r="12" spans="2:5">
      <c r="B12" s="1539" t="s">
        <v>874</v>
      </c>
    </row>
    <row r="13" spans="2:5">
      <c r="B13" s="1540" t="s">
        <v>597</v>
      </c>
      <c r="C13" s="1538" t="s">
        <v>477</v>
      </c>
      <c r="D13" s="1538" t="s">
        <v>16</v>
      </c>
    </row>
    <row r="14" spans="2:5">
      <c r="B14" s="1541" t="s">
        <v>496</v>
      </c>
      <c r="C14" s="1538" t="s">
        <v>424</v>
      </c>
    </row>
    <row r="15" spans="2:5">
      <c r="B15" s="1541" t="s">
        <v>873</v>
      </c>
    </row>
    <row r="16" spans="2:5">
      <c r="B16" s="1542" t="s">
        <v>500</v>
      </c>
      <c r="C16" s="1538" t="s">
        <v>425</v>
      </c>
    </row>
    <row r="17" spans="2:5">
      <c r="B17" s="1543" t="s">
        <v>502</v>
      </c>
      <c r="C17" s="1538" t="s">
        <v>426</v>
      </c>
    </row>
    <row r="18" spans="2:5">
      <c r="B18" s="1544" t="s">
        <v>503</v>
      </c>
      <c r="C18" s="1538" t="s">
        <v>427</v>
      </c>
      <c r="D18" s="1538" t="s">
        <v>538</v>
      </c>
    </row>
    <row r="19" spans="2:5">
      <c r="B19" s="1545" t="s">
        <v>504</v>
      </c>
      <c r="C19" s="1538" t="s">
        <v>428</v>
      </c>
      <c r="D19" s="1538" t="s">
        <v>538</v>
      </c>
    </row>
    <row r="20" spans="2:5">
      <c r="B20" s="1546" t="s">
        <v>505</v>
      </c>
      <c r="C20" s="1538" t="s">
        <v>455</v>
      </c>
      <c r="D20" s="1538" t="s">
        <v>538</v>
      </c>
    </row>
    <row r="21" spans="2:5">
      <c r="B21" s="1546" t="s">
        <v>506</v>
      </c>
      <c r="C21" s="1538" t="s">
        <v>456</v>
      </c>
      <c r="D21" s="1538" t="s">
        <v>538</v>
      </c>
    </row>
    <row r="22" spans="2:5">
      <c r="B22" s="1545" t="s">
        <v>507</v>
      </c>
      <c r="C22" s="1538" t="s">
        <v>430</v>
      </c>
      <c r="D22" s="1538" t="s">
        <v>538</v>
      </c>
    </row>
    <row r="23" spans="2:5">
      <c r="B23" s="1546" t="s">
        <v>508</v>
      </c>
      <c r="C23" s="1538" t="s">
        <v>454</v>
      </c>
    </row>
    <row r="24" spans="2:5">
      <c r="B24" s="1546" t="s">
        <v>510</v>
      </c>
      <c r="C24" s="1538" t="s">
        <v>455</v>
      </c>
    </row>
    <row r="25" spans="2:5">
      <c r="B25" s="1546" t="s">
        <v>513</v>
      </c>
      <c r="C25" s="1538" t="s">
        <v>456</v>
      </c>
    </row>
    <row r="26" spans="2:5">
      <c r="B26" s="1546" t="s">
        <v>511</v>
      </c>
      <c r="C26" s="1538" t="s">
        <v>429</v>
      </c>
    </row>
    <row r="27" spans="2:5">
      <c r="B27" s="1545" t="s">
        <v>514</v>
      </c>
      <c r="C27" s="1538" t="s">
        <v>430</v>
      </c>
    </row>
    <row r="28" spans="2:5">
      <c r="B28" s="1545" t="s">
        <v>558</v>
      </c>
      <c r="C28" s="1538" t="s">
        <v>559</v>
      </c>
      <c r="D28" s="1538" t="s">
        <v>16</v>
      </c>
    </row>
    <row r="29" spans="2:5">
      <c r="B29" s="1545" t="s">
        <v>515</v>
      </c>
      <c r="C29" s="1538" t="s">
        <v>431</v>
      </c>
    </row>
    <row r="30" spans="2:5">
      <c r="B30" s="1545" t="s">
        <v>516</v>
      </c>
      <c r="C30" s="1538" t="s">
        <v>432</v>
      </c>
    </row>
    <row r="31" spans="2:5">
      <c r="B31" s="1545" t="s">
        <v>931</v>
      </c>
      <c r="C31" s="1538" t="s">
        <v>433</v>
      </c>
      <c r="E31" s="1538" t="s">
        <v>932</v>
      </c>
    </row>
    <row r="32" spans="2:5">
      <c r="B32" s="1545" t="s">
        <v>623</v>
      </c>
      <c r="C32" s="1538" t="s">
        <v>481</v>
      </c>
      <c r="D32" s="1538" t="s">
        <v>16</v>
      </c>
    </row>
    <row r="33" spans="2:4">
      <c r="B33" s="1545" t="s">
        <v>624</v>
      </c>
      <c r="C33" s="1538" t="s">
        <v>482</v>
      </c>
    </row>
    <row r="34" spans="2:4">
      <c r="B34" s="1545" t="s">
        <v>933</v>
      </c>
      <c r="C34" s="1538" t="s">
        <v>539</v>
      </c>
    </row>
    <row r="35" spans="2:4">
      <c r="B35" s="1545" t="s">
        <v>716</v>
      </c>
      <c r="C35" s="1538" t="s">
        <v>717</v>
      </c>
      <c r="D35" s="1538" t="s">
        <v>718</v>
      </c>
    </row>
    <row r="36" spans="2:4">
      <c r="B36" s="1547" t="s">
        <v>719</v>
      </c>
      <c r="C36" s="1538" t="s">
        <v>720</v>
      </c>
      <c r="D36" s="1538" t="s">
        <v>718</v>
      </c>
    </row>
    <row r="37" spans="2:4">
      <c r="B37" s="1548" t="s">
        <v>497</v>
      </c>
    </row>
    <row r="38" spans="2:4">
      <c r="B38" s="1548" t="s">
        <v>498</v>
      </c>
    </row>
    <row r="39" spans="2:4">
      <c r="B39" s="1549" t="s">
        <v>499</v>
      </c>
    </row>
    <row r="40" spans="2:4">
      <c r="B40" s="1548" t="s">
        <v>520</v>
      </c>
    </row>
    <row r="41" spans="2:4">
      <c r="B41" s="1549" t="s">
        <v>519</v>
      </c>
    </row>
    <row r="42" spans="2:4">
      <c r="B42" s="1549" t="s">
        <v>518</v>
      </c>
    </row>
  </sheetData>
  <hyperlinks>
    <hyperlink ref="B6" location="Náklady!A1" display="Náklady"/>
    <hyperlink ref="B7" location="'Náklady vstupy'!A1" display="Náklady vstupy"/>
    <hyperlink ref="B8" location="Prieskum!A1" display="Prieskum"/>
    <hyperlink ref="B11" location="'B_01 Benefity súhrn'!A1" display="Benefity súhrn"/>
    <hyperlink ref="B13" location="'B_02 Varianty'!A1" display="Varianty"/>
    <hyperlink ref="B14" location="'B_03 Súhrn-vstupy a projekcie'!A1" display="Súhrn-vstupy a projekcie"/>
    <hyperlink ref="B16" location="'DM_01_SR počet preprav. osôb'!A1" display="SR počet prepravených osôb"/>
    <hyperlink ref="B17" location="'DM_02_SR výkony'!A1" display="SR výkony"/>
    <hyperlink ref="B18" location="'DM_03_Kraje počet cest. CVD,PAD'!A1" display="Kraje počet cestujúcich CVD,PAD"/>
    <hyperlink ref="B19" location="'DM_02_SR výkony'!A1" display="Kraje výkony CVD"/>
    <hyperlink ref="B22" location="'DM_08_Kraje tržby PAD'!A1" display="Kraje tržby PAD"/>
    <hyperlink ref="B23" location="'DM_09_MHD počet cest.'!A1" display="MHD počet cestujúcich"/>
    <hyperlink ref="B24" location="'DM_10_MHD výkony'!A1" display="MHD výkony "/>
    <hyperlink ref="B25" location="'DM_12_MHD km'!A1" display="MHD km  "/>
    <hyperlink ref="B26" location="'DM_11_MHD jazdy'!A1" display="MHD jazdy "/>
    <hyperlink ref="B27" location="'DM_13_MHD tržby'!A1" display="MHD tržby "/>
    <hyperlink ref="B20" location="'DM_06_Kraje km PAD '!A1" display="Kraje km PAD "/>
    <hyperlink ref="B21" location="'DM_05_Kraje jazdy PAD'!A1" display="Kraje jazdy PAD"/>
    <hyperlink ref="B37" location="'Mapa benefitov'!A1" display="Mapa benefitov"/>
    <hyperlink ref="B38" location="'DATA for benefits'!A1" display="DATA for benefits"/>
    <hyperlink ref="B39" location="'Data for benefits Pilot'!A1" display="'Data for benefits Pilot'!A1"/>
    <hyperlink ref="B40" location="Objednávatelia!A1" display="Objednávatelia!A1"/>
    <hyperlink ref="B41" location="'Data SU'!A1" display="'Data SU'!A1"/>
    <hyperlink ref="B42" location="'Dáta technológie'!A1" display="'Dáta technológie'!A1"/>
    <hyperlink ref="B28" location="'DM_xx_SR_železnice_ukazovat '!A1" display="DM_xx_SR_železnice_ukazovat "/>
    <hyperlink ref="B29" location="'DM_14_Vplyv ITC na počet cest. '!A1" display="DM_14_Vplyv ITC na počet cest. "/>
    <hyperlink ref="B30" location="'DM_15_Vplyv na rýchlosť vybav.'!A1" display="DM_15_Vplyv na rýchlosť vybav."/>
    <hyperlink ref="B31" location="'DM_16_Vyvoj cien cest. lístkov'!A1" display="DM_16_Vyvoj cien cest. Lístkov"/>
    <hyperlink ref="B3" location="'01 _Varianty'!A1" display="N_01 Varianty"/>
    <hyperlink ref="B32" location="'DM_xx_Casy vybavenia'!A1" display="DM_xx_Casy vybavenia"/>
    <hyperlink ref="B33" location="'DM_xx_Formy nakupu listkov'!A1" display="DM_xx_Formy nakupu listkov"/>
    <hyperlink ref="B34" location="'DM_xx_Cielove skupiny'!A1" display="DM_xx_Cielove skupiny"/>
    <hyperlink ref="B4" location="'V_02 _Varianty Validacia'!A1" display="V_01 Varianty Validácia"/>
    <hyperlink ref="B5" location="'V_03 _Varianty Zariadenia'!A1" display="V_01 Varianty Zariadenia"/>
    <hyperlink ref="B35" location="'DM_xx_Distribúcia presunu'!A1" display="DM_xx_Distribúcia presunu"/>
    <hyperlink ref="B9" location="'N_031 BO Vendor 1'!A1" display="N_031 BO Vendor 1"/>
    <hyperlink ref="B10" location="'N_032 Prieskum zariadenia'!A1" display="N_032 Prieskum zariadenia"/>
    <hyperlink ref="B2" location="'Súhrn CBA'!A1" display="Súhrn CBA"/>
  </hyperlinks>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79998168889431442"/>
  </sheetPr>
  <dimension ref="B1:P28"/>
  <sheetViews>
    <sheetView workbookViewId="0">
      <selection activeCell="G3" sqref="G3"/>
    </sheetView>
  </sheetViews>
  <sheetFormatPr defaultColWidth="8.85546875" defaultRowHeight="12.75"/>
  <cols>
    <col min="1" max="1" width="3.28515625" style="951" customWidth="1"/>
    <col min="2" max="2" width="40" style="951" bestFit="1" customWidth="1"/>
    <col min="3" max="3" width="5.7109375" style="951" bestFit="1" customWidth="1"/>
    <col min="4" max="4" width="11" style="952" bestFit="1" customWidth="1"/>
    <col min="5" max="10" width="14.7109375" style="952" customWidth="1"/>
    <col min="11" max="11" width="77.42578125" style="952" customWidth="1"/>
    <col min="12" max="16" width="16.28515625" style="952" customWidth="1"/>
    <col min="17" max="17" width="18.28515625" style="951" customWidth="1"/>
    <col min="18" max="16384" width="8.85546875" style="951"/>
  </cols>
  <sheetData>
    <row r="1" spans="2:11" ht="13.5" thickBot="1">
      <c r="E1" s="1862" t="s">
        <v>1423</v>
      </c>
      <c r="F1" s="1862"/>
      <c r="G1" s="1862" t="s">
        <v>1424</v>
      </c>
      <c r="H1" s="1862"/>
      <c r="I1" s="1863" t="s">
        <v>153</v>
      </c>
      <c r="J1" s="1863"/>
    </row>
    <row r="2" spans="2:11">
      <c r="B2" s="1223" t="s">
        <v>196</v>
      </c>
      <c r="C2" s="1224" t="s">
        <v>261</v>
      </c>
      <c r="D2" s="1235" t="s">
        <v>260</v>
      </c>
      <c r="E2" s="1232" t="s">
        <v>1375</v>
      </c>
      <c r="F2" s="1235" t="s">
        <v>1376</v>
      </c>
      <c r="G2" s="1232" t="s">
        <v>1375</v>
      </c>
      <c r="H2" s="1235" t="s">
        <v>1376</v>
      </c>
      <c r="I2" s="1224" t="s">
        <v>1375</v>
      </c>
      <c r="J2" s="1235" t="s">
        <v>1376</v>
      </c>
      <c r="K2" s="1225" t="s">
        <v>1377</v>
      </c>
    </row>
    <row r="3" spans="2:11">
      <c r="B3" s="1226" t="s">
        <v>1378</v>
      </c>
      <c r="C3" s="1227">
        <v>1</v>
      </c>
      <c r="D3" s="1236" t="s">
        <v>262</v>
      </c>
      <c r="E3" s="1233">
        <v>270000</v>
      </c>
      <c r="F3" s="1240">
        <f t="shared" ref="F3:F28" si="0">C3*E3</f>
        <v>270000</v>
      </c>
      <c r="G3" s="1238"/>
      <c r="H3" s="1240">
        <f t="shared" ref="H3:H28" si="1">C3*G3</f>
        <v>0</v>
      </c>
      <c r="I3" s="1242"/>
      <c r="J3" s="1240">
        <f t="shared" ref="J3:J28" si="2">F3</f>
        <v>270000</v>
      </c>
      <c r="K3" s="1244" t="s">
        <v>1379</v>
      </c>
    </row>
    <row r="4" spans="2:11">
      <c r="B4" s="1226" t="s">
        <v>1380</v>
      </c>
      <c r="C4" s="1227">
        <v>5</v>
      </c>
      <c r="D4" s="1236" t="s">
        <v>1381</v>
      </c>
      <c r="E4" s="1233">
        <v>25000</v>
      </c>
      <c r="F4" s="1240">
        <f t="shared" si="0"/>
        <v>125000</v>
      </c>
      <c r="G4" s="1238"/>
      <c r="H4" s="1240">
        <f t="shared" si="1"/>
        <v>0</v>
      </c>
      <c r="I4" s="1242"/>
      <c r="J4" s="1240">
        <f t="shared" si="2"/>
        <v>125000</v>
      </c>
      <c r="K4" s="1244" t="s">
        <v>1382</v>
      </c>
    </row>
    <row r="5" spans="2:11">
      <c r="B5" s="1226" t="s">
        <v>10</v>
      </c>
      <c r="C5" s="1246"/>
      <c r="D5" s="1247"/>
      <c r="E5" s="1234"/>
      <c r="F5" s="1248"/>
      <c r="G5" s="1238"/>
      <c r="H5" s="1240"/>
      <c r="I5" s="1242"/>
      <c r="J5" s="1240"/>
      <c r="K5" s="1244"/>
    </row>
    <row r="6" spans="2:11">
      <c r="B6" s="1226" t="s">
        <v>1383</v>
      </c>
      <c r="C6" s="1227">
        <v>1</v>
      </c>
      <c r="D6" s="1236" t="s">
        <v>262</v>
      </c>
      <c r="E6" s="1233">
        <v>200000</v>
      </c>
      <c r="F6" s="1240">
        <f t="shared" si="0"/>
        <v>200000</v>
      </c>
      <c r="G6" s="1238"/>
      <c r="H6" s="1240">
        <f t="shared" si="1"/>
        <v>0</v>
      </c>
      <c r="I6" s="1242"/>
      <c r="J6" s="1240">
        <f t="shared" si="2"/>
        <v>200000</v>
      </c>
      <c r="K6" s="1244" t="s">
        <v>1384</v>
      </c>
    </row>
    <row r="7" spans="2:11">
      <c r="B7" s="1226" t="s">
        <v>1617</v>
      </c>
      <c r="C7" s="1227">
        <v>1</v>
      </c>
      <c r="D7" s="1236" t="s">
        <v>262</v>
      </c>
      <c r="E7" s="1234"/>
      <c r="F7" s="1240"/>
      <c r="G7" s="1238"/>
      <c r="H7" s="1240"/>
      <c r="I7" s="1242"/>
      <c r="J7" s="1240"/>
      <c r="K7" s="1244"/>
    </row>
    <row r="8" spans="2:11">
      <c r="B8" s="1226" t="s">
        <v>1385</v>
      </c>
      <c r="C8" s="1227">
        <v>5</v>
      </c>
      <c r="D8" s="1236" t="s">
        <v>1381</v>
      </c>
      <c r="E8" s="1233">
        <f>(10%*E6)</f>
        <v>20000</v>
      </c>
      <c r="F8" s="1240">
        <f t="shared" si="0"/>
        <v>100000</v>
      </c>
      <c r="G8" s="1238"/>
      <c r="H8" s="1240">
        <f t="shared" si="1"/>
        <v>0</v>
      </c>
      <c r="I8" s="1242"/>
      <c r="J8" s="1240">
        <f t="shared" si="2"/>
        <v>100000</v>
      </c>
      <c r="K8" s="1244" t="s">
        <v>1386</v>
      </c>
    </row>
    <row r="9" spans="2:11">
      <c r="B9" s="1226" t="s">
        <v>1387</v>
      </c>
      <c r="C9" s="1227">
        <v>1</v>
      </c>
      <c r="D9" s="1236" t="s">
        <v>262</v>
      </c>
      <c r="E9" s="1233">
        <v>1100000</v>
      </c>
      <c r="F9" s="1240">
        <f t="shared" si="0"/>
        <v>1100000</v>
      </c>
      <c r="G9" s="1238"/>
      <c r="H9" s="1240">
        <f t="shared" si="1"/>
        <v>0</v>
      </c>
      <c r="I9" s="1242"/>
      <c r="J9" s="1240">
        <f t="shared" si="2"/>
        <v>1100000</v>
      </c>
      <c r="K9" s="1244" t="s">
        <v>1388</v>
      </c>
    </row>
    <row r="10" spans="2:11">
      <c r="B10" s="1226" t="s">
        <v>1618</v>
      </c>
      <c r="C10" s="1227"/>
      <c r="D10" s="1236"/>
      <c r="E10" s="1234"/>
      <c r="F10" s="1240"/>
      <c r="G10" s="1238"/>
      <c r="H10" s="1240"/>
      <c r="I10" s="1242"/>
      <c r="J10" s="1240"/>
      <c r="K10" s="1244"/>
    </row>
    <row r="11" spans="2:11">
      <c r="B11" s="1226" t="s">
        <v>1619</v>
      </c>
      <c r="C11" s="1227"/>
      <c r="D11" s="1236"/>
      <c r="E11" s="1233">
        <v>100000</v>
      </c>
      <c r="F11" s="1240"/>
      <c r="G11" s="1238"/>
      <c r="H11" s="1240"/>
      <c r="I11" s="1242"/>
      <c r="J11" s="1240"/>
      <c r="K11" s="1244" t="s">
        <v>1620</v>
      </c>
    </row>
    <row r="12" spans="2:11">
      <c r="B12" s="1226" t="s">
        <v>1389</v>
      </c>
      <c r="C12" s="1227">
        <v>60</v>
      </c>
      <c r="D12" s="1236" t="s">
        <v>1390</v>
      </c>
      <c r="E12" s="1233">
        <v>12000</v>
      </c>
      <c r="F12" s="1240">
        <f t="shared" si="0"/>
        <v>720000</v>
      </c>
      <c r="G12" s="1238"/>
      <c r="H12" s="1240">
        <f t="shared" si="1"/>
        <v>0</v>
      </c>
      <c r="I12" s="1242"/>
      <c r="J12" s="1240">
        <f t="shared" si="2"/>
        <v>720000</v>
      </c>
      <c r="K12" s="1244" t="s">
        <v>1391</v>
      </c>
    </row>
    <row r="13" spans="2:11" ht="25.5">
      <c r="B13" s="1226" t="s">
        <v>1392</v>
      </c>
      <c r="C13" s="1227">
        <v>1454</v>
      </c>
      <c r="D13" s="1236" t="s">
        <v>1393</v>
      </c>
      <c r="E13" s="1233">
        <f>2*60</f>
        <v>120</v>
      </c>
      <c r="F13" s="1240">
        <f t="shared" si="0"/>
        <v>174480</v>
      </c>
      <c r="G13" s="1238"/>
      <c r="H13" s="1240">
        <f t="shared" si="1"/>
        <v>0</v>
      </c>
      <c r="I13" s="1242"/>
      <c r="J13" s="1240">
        <f t="shared" si="2"/>
        <v>174480</v>
      </c>
      <c r="K13" s="1244" t="s">
        <v>1394</v>
      </c>
    </row>
    <row r="14" spans="2:11">
      <c r="B14" s="1226" t="s">
        <v>1395</v>
      </c>
      <c r="C14" s="1227">
        <v>5</v>
      </c>
      <c r="D14" s="1236"/>
      <c r="E14" s="1233">
        <v>120000</v>
      </c>
      <c r="F14" s="1240">
        <f t="shared" si="0"/>
        <v>600000</v>
      </c>
      <c r="G14" s="1238"/>
      <c r="H14" s="1240">
        <f t="shared" si="1"/>
        <v>0</v>
      </c>
      <c r="I14" s="1242"/>
      <c r="J14" s="1240">
        <f t="shared" si="2"/>
        <v>600000</v>
      </c>
      <c r="K14" s="1244" t="s">
        <v>1396</v>
      </c>
    </row>
    <row r="15" spans="2:11">
      <c r="B15" s="1226" t="s">
        <v>1397</v>
      </c>
      <c r="C15" s="1227">
        <v>1</v>
      </c>
      <c r="D15" s="1236"/>
      <c r="E15" s="1233">
        <v>100000</v>
      </c>
      <c r="F15" s="1240">
        <f t="shared" si="0"/>
        <v>100000</v>
      </c>
      <c r="G15" s="1238"/>
      <c r="H15" s="1240">
        <f t="shared" si="1"/>
        <v>0</v>
      </c>
      <c r="I15" s="1242"/>
      <c r="J15" s="1240">
        <f t="shared" si="2"/>
        <v>100000</v>
      </c>
      <c r="K15" s="1244" t="s">
        <v>1398</v>
      </c>
    </row>
    <row r="16" spans="2:11" ht="25.5">
      <c r="B16" s="1226" t="s">
        <v>1399</v>
      </c>
      <c r="C16" s="1227">
        <v>1</v>
      </c>
      <c r="D16" s="1236" t="s">
        <v>262</v>
      </c>
      <c r="E16" s="1233">
        <v>100000</v>
      </c>
      <c r="F16" s="1240">
        <f t="shared" si="0"/>
        <v>100000</v>
      </c>
      <c r="G16" s="1238"/>
      <c r="H16" s="1240">
        <f t="shared" si="1"/>
        <v>0</v>
      </c>
      <c r="I16" s="1242"/>
      <c r="J16" s="1240">
        <f t="shared" si="2"/>
        <v>100000</v>
      </c>
      <c r="K16" s="1244" t="s">
        <v>1400</v>
      </c>
    </row>
    <row r="17" spans="2:11">
      <c r="B17" s="1226" t="s">
        <v>1401</v>
      </c>
      <c r="C17" s="1227">
        <v>1</v>
      </c>
      <c r="D17" s="1236" t="s">
        <v>262</v>
      </c>
      <c r="E17" s="1233">
        <v>100000</v>
      </c>
      <c r="F17" s="1240">
        <f t="shared" si="0"/>
        <v>100000</v>
      </c>
      <c r="G17" s="1238"/>
      <c r="H17" s="1240">
        <f t="shared" si="1"/>
        <v>0</v>
      </c>
      <c r="I17" s="1242"/>
      <c r="J17" s="1240">
        <f t="shared" si="2"/>
        <v>100000</v>
      </c>
      <c r="K17" s="1244" t="s">
        <v>1402</v>
      </c>
    </row>
    <row r="18" spans="2:11">
      <c r="B18" s="1226" t="s">
        <v>1403</v>
      </c>
      <c r="C18" s="1227">
        <v>1</v>
      </c>
      <c r="D18" s="1236" t="s">
        <v>262</v>
      </c>
      <c r="E18" s="1233">
        <v>400000</v>
      </c>
      <c r="F18" s="1240">
        <f t="shared" si="0"/>
        <v>400000</v>
      </c>
      <c r="G18" s="1238"/>
      <c r="H18" s="1240">
        <f t="shared" si="1"/>
        <v>0</v>
      </c>
      <c r="I18" s="1242"/>
      <c r="J18" s="1240">
        <f t="shared" si="2"/>
        <v>400000</v>
      </c>
      <c r="K18" s="1244" t="s">
        <v>1404</v>
      </c>
    </row>
    <row r="19" spans="2:11">
      <c r="B19" s="1226" t="s">
        <v>1659</v>
      </c>
      <c r="C19" s="1227"/>
      <c r="D19" s="1236"/>
      <c r="E19" s="1233"/>
      <c r="F19" s="1240"/>
      <c r="G19" s="1238"/>
      <c r="H19" s="1240"/>
      <c r="I19" s="1242"/>
      <c r="J19" s="1240"/>
      <c r="K19" s="1244"/>
    </row>
    <row r="20" spans="2:11">
      <c r="B20" s="1226" t="s">
        <v>1405</v>
      </c>
      <c r="C20" s="1228">
        <v>12188</v>
      </c>
      <c r="D20" s="1236" t="s">
        <v>262</v>
      </c>
      <c r="E20" s="1249"/>
      <c r="F20" s="1250"/>
      <c r="G20" s="1238"/>
      <c r="H20" s="1240">
        <f t="shared" si="1"/>
        <v>0</v>
      </c>
      <c r="I20" s="1242"/>
      <c r="J20" s="1240">
        <f t="shared" si="2"/>
        <v>0</v>
      </c>
      <c r="K20" s="1244" t="s">
        <v>1406</v>
      </c>
    </row>
    <row r="21" spans="2:11">
      <c r="B21" s="1226" t="s">
        <v>1407</v>
      </c>
      <c r="C21" s="1228">
        <v>6835</v>
      </c>
      <c r="D21" s="1236" t="s">
        <v>262</v>
      </c>
      <c r="E21" s="1249"/>
      <c r="F21" s="1250"/>
      <c r="G21" s="1238"/>
      <c r="H21" s="1240">
        <f t="shared" si="1"/>
        <v>0</v>
      </c>
      <c r="I21" s="1242"/>
      <c r="J21" s="1240">
        <f t="shared" si="2"/>
        <v>0</v>
      </c>
      <c r="K21" s="1244" t="s">
        <v>1408</v>
      </c>
    </row>
    <row r="22" spans="2:11">
      <c r="B22" s="1226" t="s">
        <v>1409</v>
      </c>
      <c r="C22" s="1228">
        <v>6835</v>
      </c>
      <c r="D22" s="1236" t="s">
        <v>262</v>
      </c>
      <c r="E22" s="1249"/>
      <c r="F22" s="1250"/>
      <c r="G22" s="1238"/>
      <c r="H22" s="1240">
        <f t="shared" si="1"/>
        <v>0</v>
      </c>
      <c r="I22" s="1242"/>
      <c r="J22" s="1240">
        <f t="shared" si="2"/>
        <v>0</v>
      </c>
      <c r="K22" s="1244" t="s">
        <v>1410</v>
      </c>
    </row>
    <row r="23" spans="2:11">
      <c r="B23" s="1226" t="s">
        <v>1411</v>
      </c>
      <c r="C23" s="1229">
        <v>10</v>
      </c>
      <c r="D23" s="1236" t="s">
        <v>262</v>
      </c>
      <c r="E23" s="1249">
        <v>75000</v>
      </c>
      <c r="F23" s="1250">
        <f t="shared" si="0"/>
        <v>750000</v>
      </c>
      <c r="G23" s="1238"/>
      <c r="H23" s="1240">
        <f t="shared" si="1"/>
        <v>0</v>
      </c>
      <c r="I23" s="1242"/>
      <c r="J23" s="1240">
        <f t="shared" si="2"/>
        <v>750000</v>
      </c>
      <c r="K23" s="1244" t="s">
        <v>1412</v>
      </c>
    </row>
    <row r="24" spans="2:11">
      <c r="B24" s="1226" t="s">
        <v>1413</v>
      </c>
      <c r="C24" s="1229">
        <v>40</v>
      </c>
      <c r="D24" s="1236" t="s">
        <v>262</v>
      </c>
      <c r="E24" s="1249">
        <v>10000</v>
      </c>
      <c r="F24" s="1250">
        <f t="shared" si="0"/>
        <v>400000</v>
      </c>
      <c r="G24" s="1238"/>
      <c r="H24" s="1240">
        <f t="shared" si="1"/>
        <v>0</v>
      </c>
      <c r="I24" s="1242"/>
      <c r="J24" s="1240">
        <f t="shared" si="2"/>
        <v>400000</v>
      </c>
      <c r="K24" s="1244" t="s">
        <v>1414</v>
      </c>
    </row>
    <row r="25" spans="2:11">
      <c r="B25" s="1226" t="s">
        <v>1415</v>
      </c>
      <c r="C25" s="1229">
        <v>60</v>
      </c>
      <c r="D25" s="1236" t="s">
        <v>1390</v>
      </c>
      <c r="E25" s="1249"/>
      <c r="F25" s="1250"/>
      <c r="G25" s="1238"/>
      <c r="H25" s="1240">
        <f t="shared" si="1"/>
        <v>0</v>
      </c>
      <c r="I25" s="1242"/>
      <c r="J25" s="1240">
        <f t="shared" si="2"/>
        <v>0</v>
      </c>
      <c r="K25" s="1244" t="s">
        <v>1416</v>
      </c>
    </row>
    <row r="26" spans="2:11">
      <c r="B26" s="1226" t="s">
        <v>1417</v>
      </c>
      <c r="C26" s="1227">
        <v>50</v>
      </c>
      <c r="D26" s="1236" t="s">
        <v>262</v>
      </c>
      <c r="E26" s="1249">
        <f>600</f>
        <v>600</v>
      </c>
      <c r="F26" s="1250">
        <f t="shared" si="0"/>
        <v>30000</v>
      </c>
      <c r="G26" s="1238"/>
      <c r="H26" s="1240">
        <f t="shared" si="1"/>
        <v>0</v>
      </c>
      <c r="I26" s="1242"/>
      <c r="J26" s="1240">
        <f t="shared" si="2"/>
        <v>30000</v>
      </c>
      <c r="K26" s="1244" t="s">
        <v>1418</v>
      </c>
    </row>
    <row r="27" spans="2:11">
      <c r="B27" s="1226" t="s">
        <v>1419</v>
      </c>
      <c r="C27" s="1227">
        <v>100</v>
      </c>
      <c r="D27" s="1236" t="s">
        <v>262</v>
      </c>
      <c r="E27" s="1249">
        <f>1000</f>
        <v>1000</v>
      </c>
      <c r="F27" s="1250">
        <f t="shared" si="0"/>
        <v>100000</v>
      </c>
      <c r="G27" s="1238"/>
      <c r="H27" s="1240">
        <f t="shared" si="1"/>
        <v>0</v>
      </c>
      <c r="I27" s="1242"/>
      <c r="J27" s="1240">
        <f t="shared" si="2"/>
        <v>100000</v>
      </c>
      <c r="K27" s="1244" t="s">
        <v>1420</v>
      </c>
    </row>
    <row r="28" spans="2:11" ht="13.5" thickBot="1">
      <c r="B28" s="1230" t="s">
        <v>1421</v>
      </c>
      <c r="C28" s="1231">
        <v>60</v>
      </c>
      <c r="D28" s="1237" t="s">
        <v>1390</v>
      </c>
      <c r="E28" s="1251">
        <v>4000</v>
      </c>
      <c r="F28" s="1252">
        <f t="shared" si="0"/>
        <v>240000</v>
      </c>
      <c r="G28" s="1239"/>
      <c r="H28" s="1241">
        <f t="shared" si="1"/>
        <v>0</v>
      </c>
      <c r="I28" s="1243"/>
      <c r="J28" s="1241">
        <f t="shared" si="2"/>
        <v>240000</v>
      </c>
      <c r="K28" s="1245" t="s">
        <v>1422</v>
      </c>
    </row>
  </sheetData>
  <mergeCells count="3">
    <mergeCell ref="E1:F1"/>
    <mergeCell ref="G1:H1"/>
    <mergeCell ref="I1:J1"/>
  </mergeCells>
  <pageMargins left="0.7" right="0.7" top="0.75" bottom="0.75" header="0.3" footer="0.3"/>
  <pageSetup paperSize="9" orientation="portrait" horizontalDpi="1200" verticalDpi="1200"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2:AMJ31"/>
  <sheetViews>
    <sheetView topLeftCell="B1" zoomScaleNormal="100" workbookViewId="0">
      <selection activeCell="I15" sqref="I15"/>
    </sheetView>
  </sheetViews>
  <sheetFormatPr defaultColWidth="8.85546875" defaultRowHeight="15"/>
  <cols>
    <col min="1" max="1" width="4.85546875" style="1511" customWidth="1"/>
    <col min="2" max="2" width="42.140625" style="1511" customWidth="1"/>
    <col min="3" max="3" width="9" style="1511" customWidth="1"/>
    <col min="4" max="4" width="11.140625" style="1511" customWidth="1"/>
    <col min="5" max="5" width="13.42578125" style="1511" customWidth="1"/>
    <col min="6" max="6" width="15.7109375" style="1511" customWidth="1"/>
    <col min="7" max="7" width="54.5703125" style="1511" customWidth="1"/>
    <col min="8" max="8" width="8.85546875" style="1511"/>
    <col min="9" max="9" width="40.42578125" style="1511" customWidth="1"/>
    <col min="10" max="10" width="13.42578125" style="1511" customWidth="1"/>
    <col min="11" max="1024" width="8.85546875" style="1511"/>
    <col min="1025" max="16384" width="8.85546875" style="1522"/>
  </cols>
  <sheetData>
    <row r="2" spans="2:1024">
      <c r="B2" s="1509" t="s">
        <v>196</v>
      </c>
      <c r="C2" s="1509" t="s">
        <v>261</v>
      </c>
      <c r="D2" s="1509" t="s">
        <v>260</v>
      </c>
      <c r="E2" s="1509" t="s">
        <v>1375</v>
      </c>
      <c r="F2" s="1509" t="s">
        <v>1376</v>
      </c>
      <c r="G2" s="1510" t="s">
        <v>1377</v>
      </c>
    </row>
    <row r="3" spans="2:1024" ht="25.5">
      <c r="B3" s="1512" t="s">
        <v>1378</v>
      </c>
      <c r="C3" s="1512">
        <v>1</v>
      </c>
      <c r="D3" s="1512"/>
      <c r="E3" s="1513">
        <v>270000</v>
      </c>
      <c r="F3" s="1514">
        <f t="shared" ref="F3:F27" si="0">C3*E3</f>
        <v>270000</v>
      </c>
      <c r="G3" s="1515" t="s">
        <v>1663</v>
      </c>
      <c r="AMD3" s="1522"/>
      <c r="AME3" s="1522"/>
      <c r="AMF3" s="1522"/>
      <c r="AMG3" s="1522"/>
      <c r="AMH3" s="1522"/>
      <c r="AMI3" s="1522"/>
      <c r="AMJ3" s="1522"/>
    </row>
    <row r="4" spans="2:1024">
      <c r="B4" s="1512" t="s">
        <v>1380</v>
      </c>
      <c r="C4" s="1512">
        <v>5</v>
      </c>
      <c r="D4" s="1512" t="s">
        <v>1381</v>
      </c>
      <c r="E4" s="1513">
        <v>25000</v>
      </c>
      <c r="F4" s="1514">
        <f t="shared" si="0"/>
        <v>125000</v>
      </c>
      <c r="G4" s="1515" t="s">
        <v>1664</v>
      </c>
      <c r="AMD4" s="1522"/>
      <c r="AME4" s="1522"/>
      <c r="AMF4" s="1522"/>
      <c r="AMG4" s="1522"/>
      <c r="AMH4" s="1522"/>
      <c r="AMI4" s="1522"/>
      <c r="AMJ4" s="1522"/>
    </row>
    <row r="5" spans="2:1024">
      <c r="B5" s="1512" t="s">
        <v>1383</v>
      </c>
      <c r="C5" s="1512">
        <v>1</v>
      </c>
      <c r="D5" s="1512"/>
      <c r="E5" s="1513">
        <v>200000</v>
      </c>
      <c r="F5" s="1514">
        <f t="shared" si="0"/>
        <v>200000</v>
      </c>
      <c r="G5" s="1515" t="s">
        <v>1384</v>
      </c>
      <c r="AMD5" s="1522"/>
      <c r="AME5" s="1522"/>
      <c r="AMF5" s="1522"/>
      <c r="AMG5" s="1522"/>
      <c r="AMH5" s="1522"/>
      <c r="AMI5" s="1522"/>
      <c r="AMJ5" s="1522"/>
    </row>
    <row r="6" spans="2:1024">
      <c r="B6" s="1516" t="s">
        <v>1665</v>
      </c>
      <c r="C6" s="1516">
        <v>1</v>
      </c>
      <c r="D6" s="1516"/>
      <c r="E6" s="1517"/>
      <c r="F6" s="1518"/>
      <c r="G6" s="1519"/>
      <c r="AMD6" s="1522"/>
      <c r="AME6" s="1522"/>
      <c r="AMF6" s="1522"/>
      <c r="AMG6" s="1522"/>
      <c r="AMH6" s="1522"/>
      <c r="AMI6" s="1522"/>
      <c r="AMJ6" s="1522"/>
    </row>
    <row r="7" spans="2:1024">
      <c r="B7" s="1512" t="s">
        <v>1385</v>
      </c>
      <c r="C7" s="1512">
        <v>5</v>
      </c>
      <c r="D7" s="1512" t="s">
        <v>1381</v>
      </c>
      <c r="E7" s="1513"/>
      <c r="F7" s="1514">
        <f t="shared" si="0"/>
        <v>0</v>
      </c>
      <c r="G7" s="1515" t="s">
        <v>1666</v>
      </c>
      <c r="AMD7" s="1522"/>
      <c r="AME7" s="1522"/>
      <c r="AMF7" s="1522"/>
      <c r="AMG7" s="1522"/>
      <c r="AMH7" s="1522"/>
      <c r="AMI7" s="1522"/>
      <c r="AMJ7" s="1522"/>
    </row>
    <row r="8" spans="2:1024" ht="25.5">
      <c r="B8" s="1512" t="s">
        <v>1387</v>
      </c>
      <c r="C8" s="1512">
        <v>1</v>
      </c>
      <c r="D8" s="1512"/>
      <c r="E8" s="1513">
        <v>1100000</v>
      </c>
      <c r="F8" s="1514">
        <f t="shared" si="0"/>
        <v>1100000</v>
      </c>
      <c r="G8" s="1515" t="s">
        <v>1388</v>
      </c>
      <c r="AMD8" s="1522"/>
      <c r="AME8" s="1522"/>
      <c r="AMF8" s="1522"/>
      <c r="AMG8" s="1522"/>
      <c r="AMH8" s="1522"/>
      <c r="AMI8" s="1522"/>
      <c r="AMJ8" s="1522"/>
    </row>
    <row r="9" spans="2:1024">
      <c r="B9" s="1864" t="s">
        <v>1618</v>
      </c>
      <c r="C9" s="1512">
        <v>1</v>
      </c>
      <c r="D9" s="1516"/>
      <c r="E9" s="1517"/>
      <c r="F9" s="1518">
        <f t="shared" si="0"/>
        <v>0</v>
      </c>
      <c r="G9" s="1519" t="s">
        <v>1667</v>
      </c>
      <c r="AMD9" s="1522"/>
      <c r="AME9" s="1522"/>
      <c r="AMF9" s="1522"/>
      <c r="AMG9" s="1522"/>
      <c r="AMH9" s="1522"/>
      <c r="AMI9" s="1522"/>
      <c r="AMJ9" s="1522"/>
    </row>
    <row r="10" spans="2:1024">
      <c r="B10" s="1865"/>
      <c r="C10" s="1512">
        <v>1</v>
      </c>
      <c r="D10" s="1516"/>
      <c r="E10" s="1517">
        <v>100000</v>
      </c>
      <c r="F10" s="1518">
        <f t="shared" si="0"/>
        <v>100000</v>
      </c>
      <c r="G10" s="1519" t="s">
        <v>1668</v>
      </c>
      <c r="AMD10" s="1522"/>
      <c r="AME10" s="1522"/>
      <c r="AMF10" s="1522"/>
      <c r="AMG10" s="1522"/>
      <c r="AMH10" s="1522"/>
      <c r="AMI10" s="1522"/>
      <c r="AMJ10" s="1522"/>
    </row>
    <row r="11" spans="2:1024">
      <c r="B11" s="1512" t="s">
        <v>1389</v>
      </c>
      <c r="C11" s="1512">
        <v>60</v>
      </c>
      <c r="D11" s="1512" t="s">
        <v>1390</v>
      </c>
      <c r="E11" s="1513">
        <v>10000</v>
      </c>
      <c r="F11" s="1514">
        <f t="shared" si="0"/>
        <v>600000</v>
      </c>
      <c r="G11" s="1515" t="s">
        <v>1669</v>
      </c>
      <c r="AMD11" s="1522"/>
      <c r="AME11" s="1522"/>
      <c r="AMF11" s="1522"/>
      <c r="AMG11" s="1522"/>
      <c r="AMH11" s="1522"/>
      <c r="AMI11" s="1522"/>
      <c r="AMJ11" s="1522"/>
    </row>
    <row r="12" spans="2:1024" ht="51">
      <c r="B12" s="1512" t="s">
        <v>1392</v>
      </c>
      <c r="C12" s="1520">
        <v>1454</v>
      </c>
      <c r="D12" s="1512" t="s">
        <v>1393</v>
      </c>
      <c r="E12" s="1513">
        <f>2*60</f>
        <v>120</v>
      </c>
      <c r="F12" s="1514">
        <f t="shared" si="0"/>
        <v>174480</v>
      </c>
      <c r="G12" s="1515" t="s">
        <v>1670</v>
      </c>
      <c r="AMD12" s="1522"/>
      <c r="AME12" s="1522"/>
      <c r="AMF12" s="1522"/>
      <c r="AMG12" s="1522"/>
      <c r="AMH12" s="1522"/>
      <c r="AMI12" s="1522"/>
      <c r="AMJ12" s="1522"/>
    </row>
    <row r="13" spans="2:1024">
      <c r="B13" s="1512" t="s">
        <v>1395</v>
      </c>
      <c r="C13" s="1512">
        <v>5</v>
      </c>
      <c r="D13" s="1512" t="s">
        <v>1671</v>
      </c>
      <c r="E13" s="1513">
        <v>120000</v>
      </c>
      <c r="F13" s="1514">
        <f t="shared" si="0"/>
        <v>600000</v>
      </c>
      <c r="G13" s="1515" t="s">
        <v>1672</v>
      </c>
      <c r="AMD13" s="1522"/>
      <c r="AME13" s="1522"/>
      <c r="AMF13" s="1522"/>
      <c r="AMG13" s="1522"/>
      <c r="AMH13" s="1522"/>
      <c r="AMI13" s="1522"/>
      <c r="AMJ13" s="1522"/>
    </row>
    <row r="14" spans="2:1024" ht="25.5">
      <c r="B14" s="1512" t="s">
        <v>1397</v>
      </c>
      <c r="C14" s="1512">
        <v>1</v>
      </c>
      <c r="D14" s="1516" t="s">
        <v>1673</v>
      </c>
      <c r="E14" s="1513">
        <v>100000</v>
      </c>
      <c r="F14" s="1514">
        <f t="shared" si="0"/>
        <v>100000</v>
      </c>
      <c r="G14" s="1519" t="s">
        <v>1674</v>
      </c>
      <c r="AMD14" s="1522"/>
      <c r="AME14" s="1522"/>
      <c r="AMF14" s="1522"/>
      <c r="AMG14" s="1522"/>
      <c r="AMH14" s="1522"/>
      <c r="AMI14" s="1522"/>
      <c r="AMJ14" s="1522"/>
    </row>
    <row r="15" spans="2:1024" ht="51">
      <c r="B15" s="1512" t="s">
        <v>1675</v>
      </c>
      <c r="C15" s="1512">
        <v>1</v>
      </c>
      <c r="D15" s="1512"/>
      <c r="E15" s="1513">
        <v>100000</v>
      </c>
      <c r="F15" s="1514">
        <f t="shared" si="0"/>
        <v>100000</v>
      </c>
      <c r="G15" s="1515" t="s">
        <v>1676</v>
      </c>
      <c r="AMD15" s="1522"/>
      <c r="AME15" s="1522"/>
      <c r="AMF15" s="1522"/>
      <c r="AMG15" s="1522"/>
      <c r="AMH15" s="1522"/>
      <c r="AMI15" s="1522"/>
      <c r="AMJ15" s="1522"/>
    </row>
    <row r="16" spans="2:1024">
      <c r="B16" s="1512" t="s">
        <v>1403</v>
      </c>
      <c r="C16" s="1512">
        <v>1</v>
      </c>
      <c r="D16" s="1512"/>
      <c r="E16" s="1513">
        <v>400000</v>
      </c>
      <c r="F16" s="1514">
        <f t="shared" si="0"/>
        <v>400000</v>
      </c>
      <c r="G16" s="1515" t="s">
        <v>1404</v>
      </c>
    </row>
    <row r="17" spans="1:1024">
      <c r="B17" s="1521" t="s">
        <v>1660</v>
      </c>
      <c r="C17" s="1516">
        <v>60</v>
      </c>
      <c r="D17" s="1516" t="s">
        <v>1390</v>
      </c>
      <c r="E17" s="1517">
        <v>5000</v>
      </c>
      <c r="F17" s="1518">
        <f t="shared" si="0"/>
        <v>300000</v>
      </c>
      <c r="G17" s="1519" t="s">
        <v>1677</v>
      </c>
    </row>
    <row r="18" spans="1:1024">
      <c r="B18" s="1521" t="s">
        <v>1678</v>
      </c>
      <c r="C18" s="1516">
        <v>60</v>
      </c>
      <c r="D18" s="1516" t="s">
        <v>1390</v>
      </c>
      <c r="E18" s="1517">
        <v>10000</v>
      </c>
      <c r="F18" s="1518">
        <f t="shared" si="0"/>
        <v>600000</v>
      </c>
      <c r="G18" s="1519" t="s">
        <v>1679</v>
      </c>
    </row>
    <row r="19" spans="1:1024">
      <c r="B19" s="1512" t="s">
        <v>1405</v>
      </c>
      <c r="C19" s="1523">
        <v>12188</v>
      </c>
      <c r="D19" s="1512" t="s">
        <v>262</v>
      </c>
      <c r="E19" s="1513"/>
      <c r="F19" s="1514">
        <f t="shared" si="0"/>
        <v>0</v>
      </c>
      <c r="G19" s="1515" t="s">
        <v>1406</v>
      </c>
    </row>
    <row r="20" spans="1:1024">
      <c r="B20" s="1512" t="s">
        <v>1407</v>
      </c>
      <c r="C20" s="1523">
        <v>6835</v>
      </c>
      <c r="D20" s="1512" t="s">
        <v>262</v>
      </c>
      <c r="E20" s="1513"/>
      <c r="F20" s="1514">
        <f t="shared" si="0"/>
        <v>0</v>
      </c>
      <c r="G20" s="1515" t="s">
        <v>1680</v>
      </c>
    </row>
    <row r="21" spans="1:1024">
      <c r="B21" s="1512" t="s">
        <v>1409</v>
      </c>
      <c r="C21" s="1523">
        <v>6835</v>
      </c>
      <c r="D21" s="1512" t="s">
        <v>262</v>
      </c>
      <c r="E21" s="1513"/>
      <c r="F21" s="1514">
        <f t="shared" si="0"/>
        <v>0</v>
      </c>
      <c r="G21" s="1515" t="s">
        <v>1681</v>
      </c>
    </row>
    <row r="22" spans="1:1024">
      <c r="B22" s="1512" t="s">
        <v>1411</v>
      </c>
      <c r="C22" s="1523">
        <v>10</v>
      </c>
      <c r="D22" s="1512" t="s">
        <v>262</v>
      </c>
      <c r="E22" s="1513">
        <v>75000</v>
      </c>
      <c r="F22" s="1514">
        <f t="shared" si="0"/>
        <v>750000</v>
      </c>
      <c r="G22" s="1515" t="s">
        <v>1682</v>
      </c>
    </row>
    <row r="23" spans="1:1024">
      <c r="B23" s="1512" t="s">
        <v>1413</v>
      </c>
      <c r="C23" s="1523">
        <v>40</v>
      </c>
      <c r="D23" s="1512" t="s">
        <v>262</v>
      </c>
      <c r="E23" s="1513">
        <v>10000</v>
      </c>
      <c r="F23" s="1514">
        <f t="shared" si="0"/>
        <v>400000</v>
      </c>
      <c r="G23" s="1515" t="s">
        <v>1414</v>
      </c>
    </row>
    <row r="24" spans="1:1024">
      <c r="B24" s="1512" t="s">
        <v>1415</v>
      </c>
      <c r="C24" s="1524">
        <v>60</v>
      </c>
      <c r="D24" s="1512" t="s">
        <v>1390</v>
      </c>
      <c r="E24" s="1513"/>
      <c r="F24" s="1514">
        <f t="shared" si="0"/>
        <v>0</v>
      </c>
      <c r="G24" s="1515" t="s">
        <v>1416</v>
      </c>
    </row>
    <row r="25" spans="1:1024">
      <c r="B25" s="1512" t="s">
        <v>1683</v>
      </c>
      <c r="C25" s="1520">
        <v>50</v>
      </c>
      <c r="D25" s="1512"/>
      <c r="E25" s="1513"/>
      <c r="F25" s="1514">
        <f t="shared" si="0"/>
        <v>0</v>
      </c>
      <c r="G25" s="1515" t="s">
        <v>1684</v>
      </c>
    </row>
    <row r="26" spans="1:1024">
      <c r="B26" s="1512" t="s">
        <v>1419</v>
      </c>
      <c r="C26" s="1520">
        <v>100</v>
      </c>
      <c r="D26" s="1512"/>
      <c r="E26" s="1513"/>
      <c r="F26" s="1514">
        <f t="shared" si="0"/>
        <v>0</v>
      </c>
      <c r="G26" s="1515" t="s">
        <v>1684</v>
      </c>
    </row>
    <row r="27" spans="1:1024">
      <c r="B27" s="1525" t="s">
        <v>1685</v>
      </c>
      <c r="C27" s="1526">
        <v>60</v>
      </c>
      <c r="D27" s="1525" t="s">
        <v>1390</v>
      </c>
      <c r="E27" s="1527">
        <v>4000</v>
      </c>
      <c r="F27" s="1528">
        <f t="shared" si="0"/>
        <v>240000</v>
      </c>
      <c r="G27" s="1529" t="s">
        <v>1686</v>
      </c>
    </row>
    <row r="28" spans="1:1024" s="1533" customFormat="1" ht="77.25">
      <c r="A28" s="1530"/>
      <c r="B28" s="1519" t="s">
        <v>1687</v>
      </c>
      <c r="C28" s="1530"/>
      <c r="D28" s="1530"/>
      <c r="E28" s="1530"/>
      <c r="F28" s="1530"/>
      <c r="G28" s="1531" t="s">
        <v>1688</v>
      </c>
      <c r="H28" s="1532"/>
      <c r="I28" s="1532"/>
      <c r="J28" s="1532"/>
      <c r="K28" s="1532"/>
      <c r="L28" s="1532"/>
      <c r="M28" s="1532"/>
      <c r="N28" s="1532"/>
      <c r="O28" s="1532"/>
      <c r="P28" s="1532"/>
      <c r="Q28" s="1532"/>
      <c r="R28" s="1532"/>
      <c r="S28" s="1532"/>
      <c r="T28" s="1532"/>
      <c r="U28" s="1532"/>
      <c r="V28" s="1532"/>
      <c r="W28" s="1532"/>
      <c r="X28" s="1532"/>
      <c r="Y28" s="1532"/>
      <c r="Z28" s="1532"/>
      <c r="AA28" s="1532"/>
      <c r="AB28" s="1532"/>
      <c r="AC28" s="1532"/>
      <c r="AD28" s="1532"/>
      <c r="AE28" s="1532"/>
      <c r="AF28" s="1532"/>
      <c r="AG28" s="1532"/>
      <c r="AH28" s="1532"/>
      <c r="AI28" s="1532"/>
      <c r="AJ28" s="1532"/>
      <c r="AK28" s="1532"/>
      <c r="AL28" s="1532"/>
      <c r="AM28" s="1532"/>
      <c r="AN28" s="1532"/>
      <c r="AO28" s="1532"/>
      <c r="AP28" s="1532"/>
      <c r="AQ28" s="1532"/>
      <c r="AR28" s="1532"/>
      <c r="AS28" s="1532"/>
      <c r="AT28" s="1532"/>
      <c r="AU28" s="1532"/>
      <c r="AV28" s="1532"/>
      <c r="AW28" s="1532"/>
      <c r="AX28" s="1532"/>
      <c r="AY28" s="1532"/>
      <c r="AZ28" s="1532"/>
      <c r="BA28" s="1532"/>
      <c r="BB28" s="1532"/>
      <c r="BC28" s="1532"/>
      <c r="BD28" s="1532"/>
      <c r="BE28" s="1532"/>
      <c r="BF28" s="1532"/>
      <c r="BG28" s="1532"/>
      <c r="BH28" s="1532"/>
      <c r="BI28" s="1532"/>
      <c r="BJ28" s="1532"/>
      <c r="BK28" s="1532"/>
      <c r="BL28" s="1532"/>
      <c r="BM28" s="1532"/>
      <c r="BN28" s="1532"/>
      <c r="BO28" s="1532"/>
      <c r="BP28" s="1532"/>
      <c r="BQ28" s="1532"/>
      <c r="BR28" s="1532"/>
      <c r="BS28" s="1532"/>
      <c r="BT28" s="1532"/>
      <c r="BU28" s="1532"/>
      <c r="BV28" s="1532"/>
      <c r="BW28" s="1532"/>
      <c r="BX28" s="1532"/>
      <c r="BY28" s="1532"/>
      <c r="BZ28" s="1532"/>
      <c r="CA28" s="1532"/>
      <c r="CB28" s="1532"/>
      <c r="CC28" s="1532"/>
      <c r="CD28" s="1532"/>
      <c r="CE28" s="1532"/>
      <c r="CF28" s="1532"/>
      <c r="CG28" s="1532"/>
      <c r="CH28" s="1532"/>
      <c r="CI28" s="1532"/>
      <c r="CJ28" s="1532"/>
      <c r="CK28" s="1532"/>
      <c r="CL28" s="1532"/>
      <c r="CM28" s="1532"/>
      <c r="CN28" s="1532"/>
      <c r="CO28" s="1532"/>
      <c r="CP28" s="1532"/>
      <c r="CQ28" s="1532"/>
      <c r="CR28" s="1532"/>
      <c r="CS28" s="1532"/>
      <c r="CT28" s="1532"/>
      <c r="CU28" s="1532"/>
      <c r="CV28" s="1532"/>
      <c r="CW28" s="1532"/>
      <c r="CX28" s="1532"/>
      <c r="CY28" s="1532"/>
      <c r="CZ28" s="1532"/>
      <c r="DA28" s="1532"/>
      <c r="DB28" s="1532"/>
      <c r="DC28" s="1532"/>
      <c r="DD28" s="1532"/>
      <c r="DE28" s="1532"/>
      <c r="DF28" s="1532"/>
      <c r="DG28" s="1532"/>
      <c r="DH28" s="1532"/>
      <c r="DI28" s="1532"/>
      <c r="DJ28" s="1532"/>
      <c r="DK28" s="1532"/>
      <c r="DL28" s="1532"/>
      <c r="DM28" s="1532"/>
      <c r="DN28" s="1532"/>
      <c r="DO28" s="1532"/>
      <c r="DP28" s="1532"/>
      <c r="DQ28" s="1532"/>
      <c r="DR28" s="1532"/>
      <c r="DS28" s="1532"/>
      <c r="DT28" s="1532"/>
      <c r="DU28" s="1532"/>
      <c r="DV28" s="1532"/>
      <c r="DW28" s="1532"/>
      <c r="DX28" s="1532"/>
      <c r="DY28" s="1532"/>
      <c r="DZ28" s="1532"/>
      <c r="EA28" s="1532"/>
      <c r="EB28" s="1532"/>
      <c r="EC28" s="1532"/>
      <c r="ED28" s="1532"/>
      <c r="EE28" s="1532"/>
      <c r="EF28" s="1532"/>
      <c r="EG28" s="1532"/>
      <c r="EH28" s="1532"/>
      <c r="EI28" s="1532"/>
      <c r="EJ28" s="1532"/>
      <c r="EK28" s="1532"/>
      <c r="EL28" s="1532"/>
      <c r="EM28" s="1532"/>
      <c r="EN28" s="1532"/>
      <c r="EO28" s="1532"/>
      <c r="EP28" s="1532"/>
      <c r="EQ28" s="1532"/>
      <c r="ER28" s="1532"/>
      <c r="ES28" s="1532"/>
      <c r="ET28" s="1532"/>
      <c r="EU28" s="1532"/>
      <c r="EV28" s="1532"/>
      <c r="EW28" s="1532"/>
      <c r="EX28" s="1532"/>
      <c r="EY28" s="1532"/>
      <c r="EZ28" s="1532"/>
      <c r="FA28" s="1532"/>
      <c r="FB28" s="1532"/>
      <c r="FC28" s="1532"/>
      <c r="FD28" s="1532"/>
      <c r="FE28" s="1532"/>
      <c r="FF28" s="1532"/>
      <c r="FG28" s="1532"/>
      <c r="FH28" s="1532"/>
      <c r="FI28" s="1532"/>
      <c r="FJ28" s="1532"/>
      <c r="FK28" s="1532"/>
      <c r="FL28" s="1532"/>
      <c r="FM28" s="1532"/>
      <c r="FN28" s="1532"/>
      <c r="FO28" s="1532"/>
      <c r="FP28" s="1532"/>
      <c r="FQ28" s="1532"/>
      <c r="FR28" s="1532"/>
      <c r="FS28" s="1532"/>
      <c r="FT28" s="1532"/>
      <c r="FU28" s="1532"/>
      <c r="FV28" s="1532"/>
      <c r="FW28" s="1532"/>
      <c r="FX28" s="1532"/>
      <c r="FY28" s="1532"/>
      <c r="FZ28" s="1532"/>
      <c r="GA28" s="1532"/>
      <c r="GB28" s="1532"/>
      <c r="GC28" s="1532"/>
      <c r="GD28" s="1532"/>
      <c r="GE28" s="1532"/>
      <c r="GF28" s="1532"/>
      <c r="GG28" s="1532"/>
      <c r="GH28" s="1532"/>
      <c r="GI28" s="1532"/>
      <c r="GJ28" s="1532"/>
      <c r="GK28" s="1532"/>
      <c r="GL28" s="1532"/>
      <c r="GM28" s="1532"/>
      <c r="GN28" s="1532"/>
      <c r="GO28" s="1532"/>
      <c r="GP28" s="1532"/>
      <c r="GQ28" s="1532"/>
      <c r="GR28" s="1532"/>
      <c r="GS28" s="1532"/>
      <c r="GT28" s="1532"/>
      <c r="GU28" s="1532"/>
      <c r="GV28" s="1532"/>
      <c r="GW28" s="1532"/>
      <c r="GX28" s="1532"/>
      <c r="GY28" s="1532"/>
      <c r="GZ28" s="1532"/>
      <c r="HA28" s="1532"/>
      <c r="HB28" s="1532"/>
      <c r="HC28" s="1532"/>
      <c r="HD28" s="1532"/>
      <c r="HE28" s="1532"/>
      <c r="HF28" s="1532"/>
      <c r="HG28" s="1532"/>
      <c r="HH28" s="1532"/>
      <c r="HI28" s="1532"/>
      <c r="HJ28" s="1532"/>
      <c r="HK28" s="1532"/>
      <c r="HL28" s="1532"/>
      <c r="HM28" s="1532"/>
      <c r="HN28" s="1532"/>
      <c r="HO28" s="1532"/>
      <c r="HP28" s="1532"/>
      <c r="HQ28" s="1532"/>
      <c r="HR28" s="1532"/>
      <c r="HS28" s="1532"/>
      <c r="HT28" s="1532"/>
      <c r="HU28" s="1532"/>
      <c r="HV28" s="1532"/>
      <c r="HW28" s="1532"/>
      <c r="HX28" s="1532"/>
      <c r="HY28" s="1532"/>
      <c r="HZ28" s="1532"/>
      <c r="IA28" s="1532"/>
      <c r="IB28" s="1532"/>
      <c r="IC28" s="1532"/>
      <c r="ID28" s="1532"/>
      <c r="IE28" s="1532"/>
      <c r="IF28" s="1532"/>
      <c r="IG28" s="1532"/>
      <c r="IH28" s="1532"/>
      <c r="II28" s="1532"/>
      <c r="IJ28" s="1532"/>
      <c r="IK28" s="1532"/>
      <c r="IL28" s="1532"/>
      <c r="IM28" s="1532"/>
      <c r="IN28" s="1532"/>
      <c r="IO28" s="1532"/>
      <c r="IP28" s="1532"/>
      <c r="IQ28" s="1532"/>
      <c r="IR28" s="1532"/>
      <c r="IS28" s="1532"/>
      <c r="IT28" s="1532"/>
      <c r="IU28" s="1532"/>
      <c r="IV28" s="1532"/>
      <c r="IW28" s="1532"/>
      <c r="IX28" s="1532"/>
      <c r="IY28" s="1532"/>
      <c r="IZ28" s="1532"/>
      <c r="JA28" s="1532"/>
      <c r="JB28" s="1532"/>
      <c r="JC28" s="1532"/>
      <c r="JD28" s="1532"/>
      <c r="JE28" s="1532"/>
      <c r="JF28" s="1532"/>
      <c r="JG28" s="1532"/>
      <c r="JH28" s="1532"/>
      <c r="JI28" s="1532"/>
      <c r="JJ28" s="1532"/>
      <c r="JK28" s="1532"/>
      <c r="JL28" s="1532"/>
      <c r="JM28" s="1532"/>
      <c r="JN28" s="1532"/>
      <c r="JO28" s="1532"/>
      <c r="JP28" s="1532"/>
      <c r="JQ28" s="1532"/>
      <c r="JR28" s="1532"/>
      <c r="JS28" s="1532"/>
      <c r="JT28" s="1532"/>
      <c r="JU28" s="1532"/>
      <c r="JV28" s="1532"/>
      <c r="JW28" s="1532"/>
      <c r="JX28" s="1532"/>
      <c r="JY28" s="1532"/>
      <c r="JZ28" s="1532"/>
      <c r="KA28" s="1532"/>
      <c r="KB28" s="1532"/>
      <c r="KC28" s="1532"/>
      <c r="KD28" s="1532"/>
      <c r="KE28" s="1532"/>
      <c r="KF28" s="1532"/>
      <c r="KG28" s="1532"/>
      <c r="KH28" s="1532"/>
      <c r="KI28" s="1532"/>
      <c r="KJ28" s="1532"/>
      <c r="KK28" s="1532"/>
      <c r="KL28" s="1532"/>
      <c r="KM28" s="1532"/>
      <c r="KN28" s="1532"/>
      <c r="KO28" s="1532"/>
      <c r="KP28" s="1532"/>
      <c r="KQ28" s="1532"/>
      <c r="KR28" s="1532"/>
      <c r="KS28" s="1532"/>
      <c r="KT28" s="1532"/>
      <c r="KU28" s="1532"/>
      <c r="KV28" s="1532"/>
      <c r="KW28" s="1532"/>
      <c r="KX28" s="1532"/>
      <c r="KY28" s="1532"/>
      <c r="KZ28" s="1532"/>
      <c r="LA28" s="1532"/>
      <c r="LB28" s="1532"/>
      <c r="LC28" s="1532"/>
      <c r="LD28" s="1532"/>
      <c r="LE28" s="1532"/>
      <c r="LF28" s="1532"/>
      <c r="LG28" s="1532"/>
      <c r="LH28" s="1532"/>
      <c r="LI28" s="1532"/>
      <c r="LJ28" s="1532"/>
      <c r="LK28" s="1532"/>
      <c r="LL28" s="1532"/>
      <c r="LM28" s="1532"/>
      <c r="LN28" s="1532"/>
      <c r="LO28" s="1532"/>
      <c r="LP28" s="1532"/>
      <c r="LQ28" s="1532"/>
      <c r="LR28" s="1532"/>
      <c r="LS28" s="1532"/>
      <c r="LT28" s="1532"/>
      <c r="LU28" s="1532"/>
      <c r="LV28" s="1532"/>
      <c r="LW28" s="1532"/>
      <c r="LX28" s="1532"/>
      <c r="LY28" s="1532"/>
      <c r="LZ28" s="1532"/>
      <c r="MA28" s="1532"/>
      <c r="MB28" s="1532"/>
      <c r="MC28" s="1532"/>
      <c r="MD28" s="1532"/>
      <c r="ME28" s="1532"/>
      <c r="MF28" s="1532"/>
      <c r="MG28" s="1532"/>
      <c r="MH28" s="1532"/>
      <c r="MI28" s="1532"/>
      <c r="MJ28" s="1532"/>
      <c r="MK28" s="1532"/>
      <c r="ML28" s="1532"/>
      <c r="MM28" s="1532"/>
      <c r="MN28" s="1532"/>
      <c r="MO28" s="1532"/>
      <c r="MP28" s="1532"/>
      <c r="MQ28" s="1532"/>
      <c r="MR28" s="1532"/>
      <c r="MS28" s="1532"/>
      <c r="MT28" s="1532"/>
      <c r="MU28" s="1532"/>
      <c r="MV28" s="1532"/>
      <c r="MW28" s="1532"/>
      <c r="MX28" s="1532"/>
      <c r="MY28" s="1532"/>
      <c r="MZ28" s="1532"/>
      <c r="NA28" s="1532"/>
      <c r="NB28" s="1532"/>
      <c r="NC28" s="1532"/>
      <c r="ND28" s="1532"/>
      <c r="NE28" s="1532"/>
      <c r="NF28" s="1532"/>
      <c r="NG28" s="1532"/>
      <c r="NH28" s="1532"/>
      <c r="NI28" s="1532"/>
      <c r="NJ28" s="1532"/>
      <c r="NK28" s="1532"/>
      <c r="NL28" s="1532"/>
      <c r="NM28" s="1532"/>
      <c r="NN28" s="1532"/>
      <c r="NO28" s="1532"/>
      <c r="NP28" s="1532"/>
      <c r="NQ28" s="1532"/>
      <c r="NR28" s="1532"/>
      <c r="NS28" s="1532"/>
      <c r="NT28" s="1532"/>
      <c r="NU28" s="1532"/>
      <c r="NV28" s="1532"/>
      <c r="NW28" s="1532"/>
      <c r="NX28" s="1532"/>
      <c r="NY28" s="1532"/>
      <c r="NZ28" s="1532"/>
      <c r="OA28" s="1532"/>
      <c r="OB28" s="1532"/>
      <c r="OC28" s="1532"/>
      <c r="OD28" s="1532"/>
      <c r="OE28" s="1532"/>
      <c r="OF28" s="1532"/>
      <c r="OG28" s="1532"/>
      <c r="OH28" s="1532"/>
      <c r="OI28" s="1532"/>
      <c r="OJ28" s="1532"/>
      <c r="OK28" s="1532"/>
      <c r="OL28" s="1532"/>
      <c r="OM28" s="1532"/>
      <c r="ON28" s="1532"/>
      <c r="OO28" s="1532"/>
      <c r="OP28" s="1532"/>
      <c r="OQ28" s="1532"/>
      <c r="OR28" s="1532"/>
      <c r="OS28" s="1532"/>
      <c r="OT28" s="1532"/>
      <c r="OU28" s="1532"/>
      <c r="OV28" s="1532"/>
      <c r="OW28" s="1532"/>
      <c r="OX28" s="1532"/>
      <c r="OY28" s="1532"/>
      <c r="OZ28" s="1532"/>
      <c r="PA28" s="1532"/>
      <c r="PB28" s="1532"/>
      <c r="PC28" s="1532"/>
      <c r="PD28" s="1532"/>
      <c r="PE28" s="1532"/>
      <c r="PF28" s="1532"/>
      <c r="PG28" s="1532"/>
      <c r="PH28" s="1532"/>
      <c r="PI28" s="1532"/>
      <c r="PJ28" s="1532"/>
      <c r="PK28" s="1532"/>
      <c r="PL28" s="1532"/>
      <c r="PM28" s="1532"/>
      <c r="PN28" s="1532"/>
      <c r="PO28" s="1532"/>
      <c r="PP28" s="1532"/>
      <c r="PQ28" s="1532"/>
      <c r="PR28" s="1532"/>
      <c r="PS28" s="1532"/>
      <c r="PT28" s="1532"/>
      <c r="PU28" s="1532"/>
      <c r="PV28" s="1532"/>
      <c r="PW28" s="1532"/>
      <c r="PX28" s="1532"/>
      <c r="PY28" s="1532"/>
      <c r="PZ28" s="1532"/>
      <c r="QA28" s="1532"/>
      <c r="QB28" s="1532"/>
      <c r="QC28" s="1532"/>
      <c r="QD28" s="1532"/>
      <c r="QE28" s="1532"/>
      <c r="QF28" s="1532"/>
      <c r="QG28" s="1532"/>
      <c r="QH28" s="1532"/>
      <c r="QI28" s="1532"/>
      <c r="QJ28" s="1532"/>
      <c r="QK28" s="1532"/>
      <c r="QL28" s="1532"/>
      <c r="QM28" s="1532"/>
      <c r="QN28" s="1532"/>
      <c r="QO28" s="1532"/>
      <c r="QP28" s="1532"/>
      <c r="QQ28" s="1532"/>
      <c r="QR28" s="1532"/>
      <c r="QS28" s="1532"/>
      <c r="QT28" s="1532"/>
      <c r="QU28" s="1532"/>
      <c r="QV28" s="1532"/>
      <c r="QW28" s="1532"/>
      <c r="QX28" s="1532"/>
      <c r="QY28" s="1532"/>
      <c r="QZ28" s="1532"/>
      <c r="RA28" s="1532"/>
      <c r="RB28" s="1532"/>
      <c r="RC28" s="1532"/>
      <c r="RD28" s="1532"/>
      <c r="RE28" s="1532"/>
      <c r="RF28" s="1532"/>
      <c r="RG28" s="1532"/>
      <c r="RH28" s="1532"/>
      <c r="RI28" s="1532"/>
      <c r="RJ28" s="1532"/>
      <c r="RK28" s="1532"/>
      <c r="RL28" s="1532"/>
      <c r="RM28" s="1532"/>
      <c r="RN28" s="1532"/>
      <c r="RO28" s="1532"/>
      <c r="RP28" s="1532"/>
      <c r="RQ28" s="1532"/>
      <c r="RR28" s="1532"/>
      <c r="RS28" s="1532"/>
      <c r="RT28" s="1532"/>
      <c r="RU28" s="1532"/>
      <c r="RV28" s="1532"/>
      <c r="RW28" s="1532"/>
      <c r="RX28" s="1532"/>
      <c r="RY28" s="1532"/>
      <c r="RZ28" s="1532"/>
      <c r="SA28" s="1532"/>
      <c r="SB28" s="1532"/>
      <c r="SC28" s="1532"/>
      <c r="SD28" s="1532"/>
      <c r="SE28" s="1532"/>
      <c r="SF28" s="1532"/>
      <c r="SG28" s="1532"/>
      <c r="SH28" s="1532"/>
      <c r="SI28" s="1532"/>
      <c r="SJ28" s="1532"/>
      <c r="SK28" s="1532"/>
      <c r="SL28" s="1532"/>
      <c r="SM28" s="1532"/>
      <c r="SN28" s="1532"/>
      <c r="SO28" s="1532"/>
      <c r="SP28" s="1532"/>
      <c r="SQ28" s="1532"/>
      <c r="SR28" s="1532"/>
      <c r="SS28" s="1532"/>
      <c r="ST28" s="1532"/>
      <c r="SU28" s="1532"/>
      <c r="SV28" s="1532"/>
      <c r="SW28" s="1532"/>
      <c r="SX28" s="1532"/>
      <c r="SY28" s="1532"/>
      <c r="SZ28" s="1532"/>
      <c r="TA28" s="1532"/>
      <c r="TB28" s="1532"/>
      <c r="TC28" s="1532"/>
      <c r="TD28" s="1532"/>
      <c r="TE28" s="1532"/>
      <c r="TF28" s="1532"/>
      <c r="TG28" s="1532"/>
      <c r="TH28" s="1532"/>
      <c r="TI28" s="1532"/>
      <c r="TJ28" s="1532"/>
      <c r="TK28" s="1532"/>
      <c r="TL28" s="1532"/>
      <c r="TM28" s="1532"/>
      <c r="TN28" s="1532"/>
      <c r="TO28" s="1532"/>
      <c r="TP28" s="1532"/>
      <c r="TQ28" s="1532"/>
      <c r="TR28" s="1532"/>
      <c r="TS28" s="1532"/>
      <c r="TT28" s="1532"/>
      <c r="TU28" s="1532"/>
      <c r="TV28" s="1532"/>
      <c r="TW28" s="1532"/>
      <c r="TX28" s="1532"/>
      <c r="TY28" s="1532"/>
      <c r="TZ28" s="1532"/>
      <c r="UA28" s="1532"/>
      <c r="UB28" s="1532"/>
      <c r="UC28" s="1532"/>
      <c r="UD28" s="1532"/>
      <c r="UE28" s="1532"/>
      <c r="UF28" s="1532"/>
      <c r="UG28" s="1532"/>
      <c r="UH28" s="1532"/>
      <c r="UI28" s="1532"/>
      <c r="UJ28" s="1532"/>
      <c r="UK28" s="1532"/>
      <c r="UL28" s="1532"/>
      <c r="UM28" s="1532"/>
      <c r="UN28" s="1532"/>
      <c r="UO28" s="1532"/>
      <c r="UP28" s="1532"/>
      <c r="UQ28" s="1532"/>
      <c r="UR28" s="1532"/>
      <c r="US28" s="1532"/>
      <c r="UT28" s="1532"/>
      <c r="UU28" s="1532"/>
      <c r="UV28" s="1532"/>
      <c r="UW28" s="1532"/>
      <c r="UX28" s="1532"/>
      <c r="UY28" s="1532"/>
      <c r="UZ28" s="1532"/>
      <c r="VA28" s="1532"/>
      <c r="VB28" s="1532"/>
      <c r="VC28" s="1532"/>
      <c r="VD28" s="1532"/>
      <c r="VE28" s="1532"/>
      <c r="VF28" s="1532"/>
      <c r="VG28" s="1532"/>
      <c r="VH28" s="1532"/>
      <c r="VI28" s="1532"/>
      <c r="VJ28" s="1532"/>
      <c r="VK28" s="1532"/>
      <c r="VL28" s="1532"/>
      <c r="VM28" s="1532"/>
      <c r="VN28" s="1532"/>
      <c r="VO28" s="1532"/>
      <c r="VP28" s="1532"/>
      <c r="VQ28" s="1532"/>
      <c r="VR28" s="1532"/>
      <c r="VS28" s="1532"/>
      <c r="VT28" s="1532"/>
      <c r="VU28" s="1532"/>
      <c r="VV28" s="1532"/>
      <c r="VW28" s="1532"/>
      <c r="VX28" s="1532"/>
      <c r="VY28" s="1532"/>
      <c r="VZ28" s="1532"/>
      <c r="WA28" s="1532"/>
      <c r="WB28" s="1532"/>
      <c r="WC28" s="1532"/>
      <c r="WD28" s="1532"/>
      <c r="WE28" s="1532"/>
      <c r="WF28" s="1532"/>
      <c r="WG28" s="1532"/>
      <c r="WH28" s="1532"/>
      <c r="WI28" s="1532"/>
      <c r="WJ28" s="1532"/>
      <c r="WK28" s="1532"/>
      <c r="WL28" s="1532"/>
      <c r="WM28" s="1532"/>
      <c r="WN28" s="1532"/>
      <c r="WO28" s="1532"/>
      <c r="WP28" s="1532"/>
      <c r="WQ28" s="1532"/>
      <c r="WR28" s="1532"/>
      <c r="WS28" s="1532"/>
      <c r="WT28" s="1532"/>
      <c r="WU28" s="1532"/>
      <c r="WV28" s="1532"/>
      <c r="WW28" s="1532"/>
      <c r="WX28" s="1532"/>
      <c r="WY28" s="1532"/>
      <c r="WZ28" s="1532"/>
      <c r="XA28" s="1532"/>
      <c r="XB28" s="1532"/>
      <c r="XC28" s="1532"/>
      <c r="XD28" s="1532"/>
      <c r="XE28" s="1532"/>
      <c r="XF28" s="1532"/>
      <c r="XG28" s="1532"/>
      <c r="XH28" s="1532"/>
      <c r="XI28" s="1532"/>
      <c r="XJ28" s="1532"/>
      <c r="XK28" s="1532"/>
      <c r="XL28" s="1532"/>
      <c r="XM28" s="1532"/>
      <c r="XN28" s="1532"/>
      <c r="XO28" s="1532"/>
      <c r="XP28" s="1532"/>
      <c r="XQ28" s="1532"/>
      <c r="XR28" s="1532"/>
      <c r="XS28" s="1532"/>
      <c r="XT28" s="1532"/>
      <c r="XU28" s="1532"/>
      <c r="XV28" s="1532"/>
      <c r="XW28" s="1532"/>
      <c r="XX28" s="1532"/>
      <c r="XY28" s="1532"/>
      <c r="XZ28" s="1532"/>
      <c r="YA28" s="1532"/>
      <c r="YB28" s="1532"/>
      <c r="YC28" s="1532"/>
      <c r="YD28" s="1532"/>
      <c r="YE28" s="1532"/>
      <c r="YF28" s="1532"/>
      <c r="YG28" s="1532"/>
      <c r="YH28" s="1532"/>
      <c r="YI28" s="1532"/>
      <c r="YJ28" s="1532"/>
      <c r="YK28" s="1532"/>
      <c r="YL28" s="1532"/>
      <c r="YM28" s="1532"/>
      <c r="YN28" s="1532"/>
      <c r="YO28" s="1532"/>
      <c r="YP28" s="1532"/>
      <c r="YQ28" s="1532"/>
      <c r="YR28" s="1532"/>
      <c r="YS28" s="1532"/>
      <c r="YT28" s="1532"/>
      <c r="YU28" s="1532"/>
      <c r="YV28" s="1532"/>
      <c r="YW28" s="1532"/>
      <c r="YX28" s="1532"/>
      <c r="YY28" s="1532"/>
      <c r="YZ28" s="1532"/>
      <c r="ZA28" s="1532"/>
      <c r="ZB28" s="1532"/>
      <c r="ZC28" s="1532"/>
      <c r="ZD28" s="1532"/>
      <c r="ZE28" s="1532"/>
      <c r="ZF28" s="1532"/>
      <c r="ZG28" s="1532"/>
      <c r="ZH28" s="1532"/>
      <c r="ZI28" s="1532"/>
      <c r="ZJ28" s="1532"/>
      <c r="ZK28" s="1532"/>
      <c r="ZL28" s="1532"/>
      <c r="ZM28" s="1532"/>
      <c r="ZN28" s="1532"/>
      <c r="ZO28" s="1532"/>
      <c r="ZP28" s="1532"/>
      <c r="ZQ28" s="1532"/>
      <c r="ZR28" s="1532"/>
      <c r="ZS28" s="1532"/>
      <c r="ZT28" s="1532"/>
      <c r="ZU28" s="1532"/>
      <c r="ZV28" s="1532"/>
      <c r="ZW28" s="1532"/>
      <c r="ZX28" s="1532"/>
      <c r="ZY28" s="1532"/>
      <c r="ZZ28" s="1532"/>
      <c r="AAA28" s="1532"/>
      <c r="AAB28" s="1532"/>
      <c r="AAC28" s="1532"/>
      <c r="AAD28" s="1532"/>
      <c r="AAE28" s="1532"/>
      <c r="AAF28" s="1532"/>
      <c r="AAG28" s="1532"/>
      <c r="AAH28" s="1532"/>
      <c r="AAI28" s="1532"/>
      <c r="AAJ28" s="1532"/>
      <c r="AAK28" s="1532"/>
      <c r="AAL28" s="1532"/>
      <c r="AAM28" s="1532"/>
      <c r="AAN28" s="1532"/>
      <c r="AAO28" s="1532"/>
      <c r="AAP28" s="1532"/>
      <c r="AAQ28" s="1532"/>
      <c r="AAR28" s="1532"/>
      <c r="AAS28" s="1532"/>
      <c r="AAT28" s="1532"/>
      <c r="AAU28" s="1532"/>
      <c r="AAV28" s="1532"/>
      <c r="AAW28" s="1532"/>
      <c r="AAX28" s="1532"/>
      <c r="AAY28" s="1532"/>
      <c r="AAZ28" s="1532"/>
      <c r="ABA28" s="1532"/>
      <c r="ABB28" s="1532"/>
      <c r="ABC28" s="1532"/>
      <c r="ABD28" s="1532"/>
      <c r="ABE28" s="1532"/>
      <c r="ABF28" s="1532"/>
      <c r="ABG28" s="1532"/>
      <c r="ABH28" s="1532"/>
      <c r="ABI28" s="1532"/>
      <c r="ABJ28" s="1532"/>
      <c r="ABK28" s="1532"/>
      <c r="ABL28" s="1532"/>
      <c r="ABM28" s="1532"/>
      <c r="ABN28" s="1532"/>
      <c r="ABO28" s="1532"/>
      <c r="ABP28" s="1532"/>
      <c r="ABQ28" s="1532"/>
      <c r="ABR28" s="1532"/>
      <c r="ABS28" s="1532"/>
      <c r="ABT28" s="1532"/>
      <c r="ABU28" s="1532"/>
      <c r="ABV28" s="1532"/>
      <c r="ABW28" s="1532"/>
      <c r="ABX28" s="1532"/>
      <c r="ABY28" s="1532"/>
      <c r="ABZ28" s="1532"/>
      <c r="ACA28" s="1532"/>
      <c r="ACB28" s="1532"/>
      <c r="ACC28" s="1532"/>
      <c r="ACD28" s="1532"/>
      <c r="ACE28" s="1532"/>
      <c r="ACF28" s="1532"/>
      <c r="ACG28" s="1532"/>
      <c r="ACH28" s="1532"/>
      <c r="ACI28" s="1532"/>
      <c r="ACJ28" s="1532"/>
      <c r="ACK28" s="1532"/>
      <c r="ACL28" s="1532"/>
      <c r="ACM28" s="1532"/>
      <c r="ACN28" s="1532"/>
      <c r="ACO28" s="1532"/>
      <c r="ACP28" s="1532"/>
      <c r="ACQ28" s="1532"/>
      <c r="ACR28" s="1532"/>
      <c r="ACS28" s="1532"/>
      <c r="ACT28" s="1532"/>
      <c r="ACU28" s="1532"/>
      <c r="ACV28" s="1532"/>
      <c r="ACW28" s="1532"/>
      <c r="ACX28" s="1532"/>
      <c r="ACY28" s="1532"/>
      <c r="ACZ28" s="1532"/>
      <c r="ADA28" s="1532"/>
      <c r="ADB28" s="1532"/>
      <c r="ADC28" s="1532"/>
      <c r="ADD28" s="1532"/>
      <c r="ADE28" s="1532"/>
      <c r="ADF28" s="1532"/>
      <c r="ADG28" s="1532"/>
      <c r="ADH28" s="1532"/>
      <c r="ADI28" s="1532"/>
      <c r="ADJ28" s="1532"/>
      <c r="ADK28" s="1532"/>
      <c r="ADL28" s="1532"/>
      <c r="ADM28" s="1532"/>
      <c r="ADN28" s="1532"/>
      <c r="ADO28" s="1532"/>
      <c r="ADP28" s="1532"/>
      <c r="ADQ28" s="1532"/>
      <c r="ADR28" s="1532"/>
      <c r="ADS28" s="1532"/>
      <c r="ADT28" s="1532"/>
      <c r="ADU28" s="1532"/>
      <c r="ADV28" s="1532"/>
      <c r="ADW28" s="1532"/>
      <c r="ADX28" s="1532"/>
      <c r="ADY28" s="1532"/>
      <c r="ADZ28" s="1532"/>
      <c r="AEA28" s="1532"/>
      <c r="AEB28" s="1532"/>
      <c r="AEC28" s="1532"/>
      <c r="AED28" s="1532"/>
      <c r="AEE28" s="1532"/>
      <c r="AEF28" s="1532"/>
      <c r="AEG28" s="1532"/>
      <c r="AEH28" s="1532"/>
      <c r="AEI28" s="1532"/>
      <c r="AEJ28" s="1532"/>
      <c r="AEK28" s="1532"/>
      <c r="AEL28" s="1532"/>
      <c r="AEM28" s="1532"/>
      <c r="AEN28" s="1532"/>
      <c r="AEO28" s="1532"/>
      <c r="AEP28" s="1532"/>
      <c r="AEQ28" s="1532"/>
      <c r="AER28" s="1532"/>
      <c r="AES28" s="1532"/>
      <c r="AET28" s="1532"/>
      <c r="AEU28" s="1532"/>
      <c r="AEV28" s="1532"/>
      <c r="AEW28" s="1532"/>
      <c r="AEX28" s="1532"/>
      <c r="AEY28" s="1532"/>
      <c r="AEZ28" s="1532"/>
      <c r="AFA28" s="1532"/>
      <c r="AFB28" s="1532"/>
      <c r="AFC28" s="1532"/>
      <c r="AFD28" s="1532"/>
      <c r="AFE28" s="1532"/>
      <c r="AFF28" s="1532"/>
      <c r="AFG28" s="1532"/>
      <c r="AFH28" s="1532"/>
      <c r="AFI28" s="1532"/>
      <c r="AFJ28" s="1532"/>
      <c r="AFK28" s="1532"/>
      <c r="AFL28" s="1532"/>
      <c r="AFM28" s="1532"/>
      <c r="AFN28" s="1532"/>
      <c r="AFO28" s="1532"/>
      <c r="AFP28" s="1532"/>
      <c r="AFQ28" s="1532"/>
      <c r="AFR28" s="1532"/>
      <c r="AFS28" s="1532"/>
      <c r="AFT28" s="1532"/>
      <c r="AFU28" s="1532"/>
      <c r="AFV28" s="1532"/>
      <c r="AFW28" s="1532"/>
      <c r="AFX28" s="1532"/>
      <c r="AFY28" s="1532"/>
      <c r="AFZ28" s="1532"/>
      <c r="AGA28" s="1532"/>
      <c r="AGB28" s="1532"/>
      <c r="AGC28" s="1532"/>
      <c r="AGD28" s="1532"/>
      <c r="AGE28" s="1532"/>
      <c r="AGF28" s="1532"/>
      <c r="AGG28" s="1532"/>
      <c r="AGH28" s="1532"/>
      <c r="AGI28" s="1532"/>
      <c r="AGJ28" s="1532"/>
      <c r="AGK28" s="1532"/>
      <c r="AGL28" s="1532"/>
      <c r="AGM28" s="1532"/>
      <c r="AGN28" s="1532"/>
      <c r="AGO28" s="1532"/>
      <c r="AGP28" s="1532"/>
      <c r="AGQ28" s="1532"/>
      <c r="AGR28" s="1532"/>
      <c r="AGS28" s="1532"/>
      <c r="AGT28" s="1532"/>
      <c r="AGU28" s="1532"/>
      <c r="AGV28" s="1532"/>
      <c r="AGW28" s="1532"/>
      <c r="AGX28" s="1532"/>
      <c r="AGY28" s="1532"/>
      <c r="AGZ28" s="1532"/>
      <c r="AHA28" s="1532"/>
      <c r="AHB28" s="1532"/>
      <c r="AHC28" s="1532"/>
      <c r="AHD28" s="1532"/>
      <c r="AHE28" s="1532"/>
      <c r="AHF28" s="1532"/>
      <c r="AHG28" s="1532"/>
      <c r="AHH28" s="1532"/>
      <c r="AHI28" s="1532"/>
      <c r="AHJ28" s="1532"/>
      <c r="AHK28" s="1532"/>
      <c r="AHL28" s="1532"/>
      <c r="AHM28" s="1532"/>
      <c r="AHN28" s="1532"/>
      <c r="AHO28" s="1532"/>
      <c r="AHP28" s="1532"/>
      <c r="AHQ28" s="1532"/>
      <c r="AHR28" s="1532"/>
      <c r="AHS28" s="1532"/>
      <c r="AHT28" s="1532"/>
      <c r="AHU28" s="1532"/>
      <c r="AHV28" s="1532"/>
      <c r="AHW28" s="1532"/>
      <c r="AHX28" s="1532"/>
      <c r="AHY28" s="1532"/>
      <c r="AHZ28" s="1532"/>
      <c r="AIA28" s="1532"/>
      <c r="AIB28" s="1532"/>
      <c r="AIC28" s="1532"/>
      <c r="AID28" s="1532"/>
      <c r="AIE28" s="1532"/>
      <c r="AIF28" s="1532"/>
      <c r="AIG28" s="1532"/>
      <c r="AIH28" s="1532"/>
      <c r="AII28" s="1532"/>
      <c r="AIJ28" s="1532"/>
      <c r="AIK28" s="1532"/>
      <c r="AIL28" s="1532"/>
      <c r="AIM28" s="1532"/>
      <c r="AIN28" s="1532"/>
      <c r="AIO28" s="1532"/>
      <c r="AIP28" s="1532"/>
      <c r="AIQ28" s="1532"/>
      <c r="AIR28" s="1532"/>
      <c r="AIS28" s="1532"/>
      <c r="AIT28" s="1532"/>
      <c r="AIU28" s="1532"/>
      <c r="AIV28" s="1532"/>
      <c r="AIW28" s="1532"/>
      <c r="AIX28" s="1532"/>
      <c r="AIY28" s="1532"/>
      <c r="AIZ28" s="1532"/>
      <c r="AJA28" s="1532"/>
      <c r="AJB28" s="1532"/>
      <c r="AJC28" s="1532"/>
      <c r="AJD28" s="1532"/>
      <c r="AJE28" s="1532"/>
      <c r="AJF28" s="1532"/>
      <c r="AJG28" s="1532"/>
      <c r="AJH28" s="1532"/>
      <c r="AJI28" s="1532"/>
      <c r="AJJ28" s="1532"/>
      <c r="AJK28" s="1532"/>
      <c r="AJL28" s="1532"/>
      <c r="AJM28" s="1532"/>
      <c r="AJN28" s="1532"/>
      <c r="AJO28" s="1532"/>
      <c r="AJP28" s="1532"/>
      <c r="AJQ28" s="1532"/>
      <c r="AJR28" s="1532"/>
      <c r="AJS28" s="1532"/>
      <c r="AJT28" s="1532"/>
      <c r="AJU28" s="1532"/>
      <c r="AJV28" s="1532"/>
      <c r="AJW28" s="1532"/>
      <c r="AJX28" s="1532"/>
      <c r="AJY28" s="1532"/>
      <c r="AJZ28" s="1532"/>
      <c r="AKA28" s="1532"/>
      <c r="AKB28" s="1532"/>
      <c r="AKC28" s="1532"/>
      <c r="AKD28" s="1532"/>
      <c r="AKE28" s="1532"/>
      <c r="AKF28" s="1532"/>
      <c r="AKG28" s="1532"/>
      <c r="AKH28" s="1532"/>
      <c r="AKI28" s="1532"/>
      <c r="AKJ28" s="1532"/>
      <c r="AKK28" s="1532"/>
      <c r="AKL28" s="1532"/>
      <c r="AKM28" s="1532"/>
      <c r="AKN28" s="1532"/>
      <c r="AKO28" s="1532"/>
      <c r="AKP28" s="1532"/>
      <c r="AKQ28" s="1532"/>
      <c r="AKR28" s="1532"/>
      <c r="AKS28" s="1532"/>
      <c r="AKT28" s="1532"/>
      <c r="AKU28" s="1532"/>
      <c r="AKV28" s="1532"/>
      <c r="AKW28" s="1532"/>
      <c r="AKX28" s="1532"/>
      <c r="AKY28" s="1532"/>
      <c r="AKZ28" s="1532"/>
      <c r="ALA28" s="1532"/>
      <c r="ALB28" s="1532"/>
      <c r="ALC28" s="1532"/>
      <c r="ALD28" s="1532"/>
      <c r="ALE28" s="1532"/>
      <c r="ALF28" s="1532"/>
      <c r="ALG28" s="1532"/>
      <c r="ALH28" s="1532"/>
      <c r="ALI28" s="1532"/>
      <c r="ALJ28" s="1532"/>
      <c r="ALK28" s="1532"/>
      <c r="ALL28" s="1532"/>
      <c r="ALM28" s="1532"/>
      <c r="ALN28" s="1532"/>
      <c r="ALO28" s="1532"/>
      <c r="ALP28" s="1532"/>
      <c r="ALQ28" s="1532"/>
      <c r="ALR28" s="1532"/>
      <c r="ALS28" s="1532"/>
      <c r="ALT28" s="1532"/>
      <c r="ALU28" s="1532"/>
      <c r="ALV28" s="1532"/>
      <c r="ALW28" s="1532"/>
      <c r="ALX28" s="1532"/>
      <c r="ALY28" s="1532"/>
      <c r="ALZ28" s="1532"/>
      <c r="AMA28" s="1532"/>
      <c r="AMB28" s="1532"/>
      <c r="AMC28" s="1532"/>
      <c r="AMD28" s="1532"/>
      <c r="AME28" s="1532"/>
      <c r="AMF28" s="1532"/>
      <c r="AMG28" s="1532"/>
      <c r="AMH28" s="1532"/>
      <c r="AMI28" s="1532"/>
      <c r="AMJ28" s="1532"/>
    </row>
    <row r="30" spans="1:1024">
      <c r="B30" s="1511" t="s">
        <v>707</v>
      </c>
    </row>
    <row r="31" spans="1:1024">
      <c r="A31" s="1534" t="s">
        <v>1689</v>
      </c>
      <c r="B31" s="1511" t="s">
        <v>1690</v>
      </c>
    </row>
  </sheetData>
  <mergeCells count="1">
    <mergeCell ref="B9:B10"/>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theme="7" tint="0.79998168889431442"/>
  </sheetPr>
  <dimension ref="A1:I83"/>
  <sheetViews>
    <sheetView workbookViewId="0">
      <pane xSplit="2" ySplit="3" topLeftCell="C4" activePane="bottomRight" state="frozen"/>
      <selection pane="topRight" activeCell="D1" sqref="D1"/>
      <selection pane="bottomLeft" activeCell="A4" sqref="A4"/>
      <selection pane="bottomRight" activeCell="A61" sqref="A61:XFD61"/>
    </sheetView>
  </sheetViews>
  <sheetFormatPr defaultColWidth="9.140625" defaultRowHeight="12"/>
  <cols>
    <col min="1" max="1" width="27.28515625" style="592" customWidth="1"/>
    <col min="2" max="2" width="30.140625" style="1670" customWidth="1"/>
    <col min="3" max="3" width="40.7109375" style="173" customWidth="1"/>
    <col min="4" max="4" width="21.5703125" style="173" customWidth="1"/>
    <col min="5" max="5" width="12" style="22" bestFit="1" customWidth="1"/>
    <col min="6" max="7" width="13.7109375" style="22" customWidth="1"/>
    <col min="8" max="8" width="39.7109375" style="173" customWidth="1"/>
    <col min="9" max="9" width="31.85546875" style="22" customWidth="1"/>
    <col min="10" max="16384" width="9.140625" style="22"/>
  </cols>
  <sheetData>
    <row r="1" spans="1:9" s="1669" customFormat="1">
      <c r="A1" s="1665"/>
      <c r="B1" s="1666"/>
      <c r="C1" s="1667"/>
      <c r="D1" s="1667"/>
      <c r="E1" s="1668" t="s">
        <v>1728</v>
      </c>
      <c r="F1" s="1668" t="s">
        <v>1729</v>
      </c>
      <c r="G1" s="1668" t="s">
        <v>1730</v>
      </c>
      <c r="H1" s="1667"/>
    </row>
    <row r="2" spans="1:9">
      <c r="D2" s="22"/>
      <c r="E2" s="1671">
        <f>SUM(E4:E58)</f>
        <v>10100160</v>
      </c>
      <c r="F2" s="1671">
        <f>SUM(F4:F58)</f>
        <v>12120192</v>
      </c>
      <c r="G2" s="1671">
        <f>SUM(G4:G58)</f>
        <v>21042</v>
      </c>
    </row>
    <row r="3" spans="1:9" ht="34.5" customHeight="1">
      <c r="A3" s="1665" t="s">
        <v>1731</v>
      </c>
      <c r="B3" s="1666" t="s">
        <v>1732</v>
      </c>
      <c r="C3" s="1668" t="s">
        <v>1733</v>
      </c>
      <c r="D3" s="1668" t="s">
        <v>1734</v>
      </c>
      <c r="E3" s="1669" t="s">
        <v>1735</v>
      </c>
      <c r="F3" s="1669" t="s">
        <v>1736</v>
      </c>
      <c r="G3" s="1669" t="s">
        <v>1737</v>
      </c>
      <c r="H3" s="1667" t="s">
        <v>1738</v>
      </c>
      <c r="I3" s="22" t="s">
        <v>1834</v>
      </c>
    </row>
    <row r="4" spans="1:9" ht="72" hidden="1">
      <c r="A4" s="592" t="s">
        <v>1739</v>
      </c>
      <c r="B4" s="1672" t="s">
        <v>1740</v>
      </c>
      <c r="C4" s="1673" t="s">
        <v>1741</v>
      </c>
      <c r="D4" s="1673" t="s">
        <v>1742</v>
      </c>
      <c r="E4" s="1671">
        <v>350880</v>
      </c>
      <c r="F4" s="1671">
        <v>421056</v>
      </c>
      <c r="G4" s="1671">
        <v>731</v>
      </c>
      <c r="H4" s="173" t="s">
        <v>1743</v>
      </c>
      <c r="I4" s="22" t="s">
        <v>1831</v>
      </c>
    </row>
    <row r="5" spans="1:9" ht="72" hidden="1">
      <c r="A5" s="592" t="s">
        <v>1739</v>
      </c>
      <c r="B5" s="1672" t="s">
        <v>1740</v>
      </c>
      <c r="C5" s="1673" t="s">
        <v>1741</v>
      </c>
      <c r="D5" s="1673" t="s">
        <v>1744</v>
      </c>
      <c r="E5" s="1671">
        <v>272640</v>
      </c>
      <c r="F5" s="1671">
        <v>327168</v>
      </c>
      <c r="G5" s="1671">
        <v>568</v>
      </c>
      <c r="I5" s="22" t="s">
        <v>1831</v>
      </c>
    </row>
    <row r="6" spans="1:9" ht="72" hidden="1">
      <c r="A6" s="592" t="s">
        <v>1739</v>
      </c>
      <c r="B6" s="1672" t="s">
        <v>1740</v>
      </c>
      <c r="C6" s="1673" t="s">
        <v>1741</v>
      </c>
      <c r="D6" s="1673" t="s">
        <v>1745</v>
      </c>
      <c r="E6" s="1740">
        <v>136800</v>
      </c>
      <c r="F6" s="1671">
        <v>164160</v>
      </c>
      <c r="G6" s="1671">
        <v>285</v>
      </c>
      <c r="I6" s="22" t="s">
        <v>1831</v>
      </c>
    </row>
    <row r="7" spans="1:9" ht="24" hidden="1">
      <c r="A7" s="592" t="s">
        <v>1746</v>
      </c>
      <c r="B7" s="592" t="s">
        <v>1747</v>
      </c>
      <c r="D7" s="592" t="s">
        <v>1747</v>
      </c>
      <c r="E7" s="1671">
        <v>168000</v>
      </c>
      <c r="F7" s="1671">
        <v>201600</v>
      </c>
      <c r="G7" s="1671">
        <v>350</v>
      </c>
      <c r="H7" s="173" t="s">
        <v>1748</v>
      </c>
      <c r="I7" s="22" t="s">
        <v>1831</v>
      </c>
    </row>
    <row r="8" spans="1:9" ht="72" hidden="1">
      <c r="A8" s="592" t="s">
        <v>1739</v>
      </c>
      <c r="B8" s="1672" t="s">
        <v>1740</v>
      </c>
      <c r="C8" s="1673" t="s">
        <v>1741</v>
      </c>
      <c r="D8" s="1673" t="s">
        <v>1749</v>
      </c>
      <c r="E8" s="1671">
        <v>192480</v>
      </c>
      <c r="F8" s="1671">
        <v>230976</v>
      </c>
      <c r="G8" s="1671">
        <v>401</v>
      </c>
      <c r="I8" s="22" t="s">
        <v>1831</v>
      </c>
    </row>
    <row r="9" spans="1:9" ht="36" hidden="1">
      <c r="A9" s="592" t="s">
        <v>1739</v>
      </c>
      <c r="B9" s="1672" t="s">
        <v>1740</v>
      </c>
      <c r="C9" s="1673" t="s">
        <v>1750</v>
      </c>
      <c r="D9" s="1673" t="s">
        <v>1751</v>
      </c>
      <c r="E9" s="1671">
        <v>265440</v>
      </c>
      <c r="F9" s="1671">
        <v>318528</v>
      </c>
      <c r="G9" s="1671">
        <v>553</v>
      </c>
      <c r="H9" s="173" t="s">
        <v>1752</v>
      </c>
      <c r="I9" s="22" t="s">
        <v>1831</v>
      </c>
    </row>
    <row r="10" spans="1:9" ht="36" hidden="1">
      <c r="A10" s="592" t="s">
        <v>1739</v>
      </c>
      <c r="B10" s="1672" t="s">
        <v>1740</v>
      </c>
      <c r="C10" s="1673" t="s">
        <v>1753</v>
      </c>
      <c r="D10" s="1673" t="s">
        <v>1751</v>
      </c>
      <c r="E10" s="1671">
        <v>233760</v>
      </c>
      <c r="F10" s="1671">
        <v>280512</v>
      </c>
      <c r="G10" s="1671">
        <v>487</v>
      </c>
      <c r="H10" s="173" t="s">
        <v>1754</v>
      </c>
      <c r="I10" s="22" t="s">
        <v>1831</v>
      </c>
    </row>
    <row r="11" spans="1:9" ht="36" hidden="1">
      <c r="A11" s="592" t="s">
        <v>1739</v>
      </c>
      <c r="B11" s="1672" t="s">
        <v>1740</v>
      </c>
      <c r="C11" s="1673" t="s">
        <v>1755</v>
      </c>
      <c r="D11" s="1673"/>
      <c r="E11" s="1671">
        <v>0</v>
      </c>
      <c r="F11" s="1671">
        <v>0</v>
      </c>
      <c r="G11" s="1671">
        <v>0</v>
      </c>
      <c r="H11" s="173" t="s">
        <v>1756</v>
      </c>
      <c r="I11" s="22" t="s">
        <v>1831</v>
      </c>
    </row>
    <row r="12" spans="1:9" ht="36" hidden="1">
      <c r="A12" s="592" t="s">
        <v>1739</v>
      </c>
      <c r="B12" s="1672" t="s">
        <v>1740</v>
      </c>
      <c r="C12" s="1673" t="s">
        <v>1757</v>
      </c>
      <c r="D12" s="1673"/>
      <c r="E12" s="1671">
        <v>143040</v>
      </c>
      <c r="F12" s="1671">
        <v>171648</v>
      </c>
      <c r="G12" s="1671">
        <v>298</v>
      </c>
      <c r="H12" s="173" t="s">
        <v>1758</v>
      </c>
      <c r="I12" s="22" t="s">
        <v>1831</v>
      </c>
    </row>
    <row r="13" spans="1:9" ht="36" hidden="1">
      <c r="A13" s="592" t="s">
        <v>1739</v>
      </c>
      <c r="B13" s="1672" t="s">
        <v>1759</v>
      </c>
      <c r="C13" s="1673" t="s">
        <v>1760</v>
      </c>
      <c r="D13" s="1673" t="s">
        <v>1761</v>
      </c>
      <c r="E13" s="1671">
        <v>302880</v>
      </c>
      <c r="F13" s="1671">
        <v>363456</v>
      </c>
      <c r="G13" s="1671">
        <v>631</v>
      </c>
      <c r="H13" s="173" t="s">
        <v>1762</v>
      </c>
      <c r="I13" s="22" t="s">
        <v>1830</v>
      </c>
    </row>
    <row r="14" spans="1:9" ht="48" hidden="1">
      <c r="A14" s="592" t="s">
        <v>1739</v>
      </c>
      <c r="B14" s="1672" t="s">
        <v>1759</v>
      </c>
      <c r="C14" s="1673" t="s">
        <v>1763</v>
      </c>
      <c r="D14" s="1673"/>
      <c r="E14" s="1671">
        <v>394560</v>
      </c>
      <c r="F14" s="1671">
        <v>473472</v>
      </c>
      <c r="G14" s="1671">
        <v>822</v>
      </c>
      <c r="I14" s="22" t="s">
        <v>1830</v>
      </c>
    </row>
    <row r="15" spans="1:9" ht="36" hidden="1">
      <c r="A15" s="592" t="s">
        <v>1739</v>
      </c>
      <c r="B15" s="1672" t="s">
        <v>1764</v>
      </c>
      <c r="C15" s="1673" t="s">
        <v>1765</v>
      </c>
      <c r="D15" s="1673"/>
      <c r="E15" s="1671">
        <v>309120</v>
      </c>
      <c r="F15" s="1671">
        <v>370944</v>
      </c>
      <c r="G15" s="1671">
        <v>644</v>
      </c>
      <c r="I15" s="22" t="s">
        <v>1830</v>
      </c>
    </row>
    <row r="16" spans="1:9" ht="48" hidden="1">
      <c r="A16" s="592" t="s">
        <v>1739</v>
      </c>
      <c r="B16" s="1672" t="s">
        <v>1764</v>
      </c>
      <c r="C16" s="1673" t="s">
        <v>1766</v>
      </c>
      <c r="D16" s="1673" t="s">
        <v>1767</v>
      </c>
      <c r="E16" s="1671">
        <v>364320</v>
      </c>
      <c r="F16" s="1671">
        <v>437184</v>
      </c>
      <c r="G16" s="1671">
        <v>759</v>
      </c>
      <c r="I16" s="22" t="s">
        <v>1830</v>
      </c>
    </row>
    <row r="17" spans="1:9" ht="36" hidden="1">
      <c r="A17" s="592" t="s">
        <v>1739</v>
      </c>
      <c r="B17" s="1672" t="s">
        <v>1764</v>
      </c>
      <c r="C17" s="1673" t="s">
        <v>1768</v>
      </c>
      <c r="D17" s="1673" t="s">
        <v>1767</v>
      </c>
      <c r="E17" s="1671">
        <v>318240</v>
      </c>
      <c r="F17" s="1671">
        <v>381888</v>
      </c>
      <c r="G17" s="1671">
        <v>663</v>
      </c>
      <c r="I17" s="22" t="s">
        <v>1830</v>
      </c>
    </row>
    <row r="18" spans="1:9" ht="36" hidden="1">
      <c r="A18" s="592" t="s">
        <v>1739</v>
      </c>
      <c r="B18" s="1672" t="s">
        <v>1764</v>
      </c>
      <c r="C18" s="1673" t="s">
        <v>1769</v>
      </c>
      <c r="D18" s="1673" t="s">
        <v>1767</v>
      </c>
      <c r="E18" s="1671">
        <v>570720</v>
      </c>
      <c r="F18" s="1671">
        <v>684864</v>
      </c>
      <c r="G18" s="1671">
        <v>1189</v>
      </c>
      <c r="I18" s="22" t="s">
        <v>1830</v>
      </c>
    </row>
    <row r="19" spans="1:9" ht="36" hidden="1">
      <c r="A19" s="592" t="s">
        <v>1739</v>
      </c>
      <c r="B19" s="1672" t="s">
        <v>1764</v>
      </c>
      <c r="C19" s="1673" t="s">
        <v>1770</v>
      </c>
      <c r="D19" s="1673"/>
      <c r="E19" s="1671">
        <v>302880</v>
      </c>
      <c r="F19" s="1671">
        <v>363456</v>
      </c>
      <c r="G19" s="1671">
        <v>631</v>
      </c>
      <c r="I19" s="22" t="s">
        <v>1830</v>
      </c>
    </row>
    <row r="20" spans="1:9" ht="36" hidden="1">
      <c r="A20" s="592" t="s">
        <v>1739</v>
      </c>
      <c r="B20" s="1672" t="s">
        <v>1771</v>
      </c>
      <c r="C20" s="1673" t="s">
        <v>1772</v>
      </c>
      <c r="D20" s="1673" t="s">
        <v>1773</v>
      </c>
      <c r="E20" s="1671">
        <v>422400</v>
      </c>
      <c r="F20" s="1671">
        <v>506880</v>
      </c>
      <c r="G20" s="1671">
        <v>880</v>
      </c>
      <c r="I20" s="22" t="s">
        <v>1830</v>
      </c>
    </row>
    <row r="21" spans="1:9" ht="36" hidden="1">
      <c r="A21" s="592" t="s">
        <v>1739</v>
      </c>
      <c r="B21" s="1672" t="s">
        <v>1774</v>
      </c>
      <c r="C21" s="1673" t="s">
        <v>1775</v>
      </c>
      <c r="D21" s="1673" t="s">
        <v>1776</v>
      </c>
      <c r="E21" s="1671">
        <v>309120</v>
      </c>
      <c r="F21" s="1671">
        <v>370944</v>
      </c>
      <c r="G21" s="1671">
        <v>644</v>
      </c>
      <c r="I21" s="22" t="s">
        <v>1830</v>
      </c>
    </row>
    <row r="22" spans="1:9" ht="36" hidden="1">
      <c r="A22" s="592" t="s">
        <v>1739</v>
      </c>
      <c r="B22" s="1672" t="s">
        <v>1774</v>
      </c>
      <c r="C22" s="1673" t="s">
        <v>1777</v>
      </c>
      <c r="D22" s="1673" t="s">
        <v>1778</v>
      </c>
      <c r="E22" s="1671">
        <v>247200</v>
      </c>
      <c r="F22" s="1671">
        <v>296640</v>
      </c>
      <c r="G22" s="1671">
        <v>515</v>
      </c>
      <c r="I22" s="22" t="s">
        <v>1830</v>
      </c>
    </row>
    <row r="23" spans="1:9" ht="36" hidden="1">
      <c r="A23" s="592" t="s">
        <v>1739</v>
      </c>
      <c r="B23" s="1672" t="s">
        <v>1779</v>
      </c>
      <c r="C23" s="1673" t="s">
        <v>1780</v>
      </c>
      <c r="D23" s="1673" t="s">
        <v>1781</v>
      </c>
      <c r="E23" s="1671">
        <v>495360</v>
      </c>
      <c r="F23" s="1671">
        <v>594432</v>
      </c>
      <c r="G23" s="1671">
        <v>1032</v>
      </c>
      <c r="I23" s="22" t="s">
        <v>1830</v>
      </c>
    </row>
    <row r="24" spans="1:9" ht="36" hidden="1">
      <c r="A24" s="592" t="s">
        <v>1739</v>
      </c>
      <c r="B24" s="1672" t="s">
        <v>1779</v>
      </c>
      <c r="C24" s="1673" t="s">
        <v>1782</v>
      </c>
      <c r="D24" s="1673" t="s">
        <v>1783</v>
      </c>
      <c r="E24" s="1671">
        <v>423840</v>
      </c>
      <c r="F24" s="1671">
        <v>508608</v>
      </c>
      <c r="G24" s="1671">
        <v>883</v>
      </c>
      <c r="I24" s="22" t="s">
        <v>1830</v>
      </c>
    </row>
    <row r="25" spans="1:9" ht="60" hidden="1">
      <c r="A25" s="592" t="s">
        <v>1739</v>
      </c>
      <c r="B25" s="1672" t="s">
        <v>1784</v>
      </c>
      <c r="C25" s="1673" t="s">
        <v>1785</v>
      </c>
      <c r="D25" s="1673"/>
      <c r="E25" s="1671">
        <v>528960</v>
      </c>
      <c r="F25" s="1671">
        <v>634752</v>
      </c>
      <c r="G25" s="1671">
        <v>1102</v>
      </c>
      <c r="I25" s="22" t="s">
        <v>1830</v>
      </c>
    </row>
    <row r="26" spans="1:9" ht="36" hidden="1">
      <c r="A26" s="592" t="s">
        <v>1739</v>
      </c>
      <c r="B26" s="1672" t="s">
        <v>1786</v>
      </c>
      <c r="C26" s="1673" t="s">
        <v>1787</v>
      </c>
      <c r="D26" s="1673"/>
      <c r="E26" s="1671">
        <v>335040</v>
      </c>
      <c r="F26" s="1671">
        <v>402048</v>
      </c>
      <c r="G26" s="1671">
        <v>698</v>
      </c>
      <c r="I26" s="22" t="s">
        <v>1830</v>
      </c>
    </row>
    <row r="27" spans="1:9" ht="36" hidden="1">
      <c r="A27" s="592" t="s">
        <v>1739</v>
      </c>
      <c r="B27" s="1672" t="s">
        <v>1786</v>
      </c>
      <c r="C27" s="1673" t="s">
        <v>1788</v>
      </c>
      <c r="D27" s="1673"/>
      <c r="E27" s="1671">
        <v>135840</v>
      </c>
      <c r="F27" s="1671">
        <v>163008</v>
      </c>
      <c r="G27" s="1671">
        <v>283</v>
      </c>
      <c r="I27" s="22" t="s">
        <v>1830</v>
      </c>
    </row>
    <row r="28" spans="1:9" ht="36" hidden="1">
      <c r="A28" s="592" t="s">
        <v>1739</v>
      </c>
      <c r="B28" s="1672" t="s">
        <v>1786</v>
      </c>
      <c r="C28" s="1673" t="s">
        <v>1789</v>
      </c>
      <c r="D28" s="1673"/>
      <c r="E28" s="1671">
        <v>125280</v>
      </c>
      <c r="F28" s="1671">
        <v>150336</v>
      </c>
      <c r="G28" s="1671">
        <v>261</v>
      </c>
      <c r="I28" s="22" t="s">
        <v>1830</v>
      </c>
    </row>
    <row r="29" spans="1:9" ht="36" hidden="1">
      <c r="A29" s="592" t="s">
        <v>1739</v>
      </c>
      <c r="B29" s="1672" t="s">
        <v>1786</v>
      </c>
      <c r="C29" s="1673" t="s">
        <v>1790</v>
      </c>
      <c r="D29" s="1673" t="s">
        <v>1791</v>
      </c>
      <c r="E29" s="1671">
        <v>216000</v>
      </c>
      <c r="F29" s="1671">
        <v>259200</v>
      </c>
      <c r="G29" s="1671">
        <v>450</v>
      </c>
      <c r="I29" s="22" t="s">
        <v>1830</v>
      </c>
    </row>
    <row r="30" spans="1:9" ht="84" hidden="1">
      <c r="A30" s="1672" t="s">
        <v>1792</v>
      </c>
      <c r="B30" s="1670" t="s">
        <v>1302</v>
      </c>
      <c r="C30" s="1673" t="s">
        <v>1793</v>
      </c>
      <c r="D30" s="1673"/>
      <c r="E30" s="1671">
        <v>89760</v>
      </c>
      <c r="F30" s="1671">
        <v>107712</v>
      </c>
      <c r="G30" s="1671">
        <v>187</v>
      </c>
      <c r="I30" s="173" t="s">
        <v>1302</v>
      </c>
    </row>
    <row r="31" spans="1:9" ht="48" hidden="1">
      <c r="A31" s="1672" t="s">
        <v>1792</v>
      </c>
      <c r="B31" s="1670" t="s">
        <v>1302</v>
      </c>
      <c r="C31" s="1673" t="s">
        <v>1794</v>
      </c>
      <c r="D31" s="1673"/>
      <c r="E31" s="1671">
        <v>80640</v>
      </c>
      <c r="F31" s="1671">
        <v>96768</v>
      </c>
      <c r="G31" s="1671">
        <v>168</v>
      </c>
      <c r="I31" s="173" t="s">
        <v>1302</v>
      </c>
    </row>
    <row r="32" spans="1:9" ht="36" hidden="1">
      <c r="A32" s="1672" t="s">
        <v>1795</v>
      </c>
      <c r="B32" s="1670" t="s">
        <v>1302</v>
      </c>
      <c r="C32" s="1673" t="s">
        <v>1796</v>
      </c>
      <c r="D32" s="1673"/>
      <c r="E32" s="1671">
        <v>83040</v>
      </c>
      <c r="F32" s="1671">
        <v>99648</v>
      </c>
      <c r="G32" s="1671">
        <v>173</v>
      </c>
      <c r="I32" s="173" t="s">
        <v>1302</v>
      </c>
    </row>
    <row r="33" spans="1:9" ht="36" hidden="1">
      <c r="A33" s="1672" t="s">
        <v>1795</v>
      </c>
      <c r="B33" s="1670" t="s">
        <v>1302</v>
      </c>
      <c r="C33" s="1673" t="s">
        <v>1797</v>
      </c>
      <c r="D33" s="1673"/>
      <c r="E33" s="1671">
        <v>37440</v>
      </c>
      <c r="F33" s="1671">
        <v>44928</v>
      </c>
      <c r="G33" s="1671">
        <v>78</v>
      </c>
      <c r="I33" s="173" t="s">
        <v>1302</v>
      </c>
    </row>
    <row r="34" spans="1:9" ht="36" hidden="1">
      <c r="A34" s="1672" t="s">
        <v>1795</v>
      </c>
      <c r="B34" s="1670" t="s">
        <v>1302</v>
      </c>
      <c r="C34" s="1673" t="s">
        <v>1798</v>
      </c>
      <c r="D34" s="1673"/>
      <c r="E34" s="1671">
        <v>14880</v>
      </c>
      <c r="F34" s="1671">
        <v>17856</v>
      </c>
      <c r="G34" s="1671">
        <v>31</v>
      </c>
      <c r="I34" s="173" t="s">
        <v>1302</v>
      </c>
    </row>
    <row r="35" spans="1:9" ht="36" hidden="1">
      <c r="A35" s="1672" t="s">
        <v>1795</v>
      </c>
      <c r="B35" s="1670" t="s">
        <v>1302</v>
      </c>
      <c r="C35" s="1673" t="s">
        <v>1799</v>
      </c>
      <c r="D35" s="1673"/>
      <c r="E35" s="1671">
        <v>13920</v>
      </c>
      <c r="F35" s="1671">
        <v>16704</v>
      </c>
      <c r="G35" s="1671">
        <v>29</v>
      </c>
      <c r="I35" s="173" t="s">
        <v>1302</v>
      </c>
    </row>
    <row r="36" spans="1:9" ht="36" hidden="1">
      <c r="A36" s="1672" t="s">
        <v>1795</v>
      </c>
      <c r="B36" s="1670" t="s">
        <v>1302</v>
      </c>
      <c r="C36" s="1673" t="s">
        <v>1800</v>
      </c>
      <c r="D36" s="1673"/>
      <c r="E36" s="1671">
        <v>26880</v>
      </c>
      <c r="F36" s="1671">
        <v>32256</v>
      </c>
      <c r="G36" s="1671">
        <v>56</v>
      </c>
      <c r="I36" s="173" t="s">
        <v>1302</v>
      </c>
    </row>
    <row r="37" spans="1:9" ht="36" hidden="1">
      <c r="A37" s="1672" t="s">
        <v>1795</v>
      </c>
      <c r="B37" s="1670" t="s">
        <v>1302</v>
      </c>
      <c r="C37" s="1673" t="s">
        <v>1801</v>
      </c>
      <c r="D37" s="1673"/>
      <c r="E37" s="1671">
        <v>67200</v>
      </c>
      <c r="F37" s="1671">
        <v>80640</v>
      </c>
      <c r="G37" s="1671">
        <v>140</v>
      </c>
      <c r="I37" s="173" t="s">
        <v>1302</v>
      </c>
    </row>
    <row r="38" spans="1:9" ht="36" hidden="1">
      <c r="A38" s="1672" t="s">
        <v>1795</v>
      </c>
      <c r="B38" s="1670" t="s">
        <v>1302</v>
      </c>
      <c r="C38" s="1673" t="s">
        <v>1802</v>
      </c>
      <c r="D38" s="1673"/>
      <c r="E38" s="1671">
        <v>27360</v>
      </c>
      <c r="F38" s="1671">
        <v>32832</v>
      </c>
      <c r="G38" s="1671">
        <v>57</v>
      </c>
      <c r="I38" s="173" t="s">
        <v>1302</v>
      </c>
    </row>
    <row r="39" spans="1:9" ht="36" hidden="1">
      <c r="A39" s="1672" t="s">
        <v>1795</v>
      </c>
      <c r="B39" s="1670" t="s">
        <v>1302</v>
      </c>
      <c r="C39" s="1673" t="s">
        <v>1803</v>
      </c>
      <c r="D39" s="1673"/>
      <c r="E39" s="1671">
        <v>13920</v>
      </c>
      <c r="F39" s="1671">
        <v>16704</v>
      </c>
      <c r="G39" s="1671">
        <v>29</v>
      </c>
      <c r="I39" s="173" t="s">
        <v>1302</v>
      </c>
    </row>
    <row r="40" spans="1:9" ht="36" hidden="1">
      <c r="A40" s="1672" t="s">
        <v>1795</v>
      </c>
      <c r="B40" s="1670" t="s">
        <v>1302</v>
      </c>
      <c r="C40" s="1673" t="s">
        <v>1804</v>
      </c>
      <c r="D40" s="1673"/>
      <c r="E40" s="1671">
        <v>27360</v>
      </c>
      <c r="F40" s="1671">
        <v>32832</v>
      </c>
      <c r="G40" s="1671">
        <v>57</v>
      </c>
      <c r="I40" s="173" t="s">
        <v>1302</v>
      </c>
    </row>
    <row r="41" spans="1:9" ht="36" hidden="1">
      <c r="A41" s="1672" t="s">
        <v>1795</v>
      </c>
      <c r="B41" s="1670" t="s">
        <v>1302</v>
      </c>
      <c r="C41" s="1673" t="s">
        <v>1805</v>
      </c>
      <c r="D41" s="1673"/>
      <c r="E41" s="1671">
        <v>67200</v>
      </c>
      <c r="F41" s="1671">
        <v>80640</v>
      </c>
      <c r="G41" s="1671">
        <v>140</v>
      </c>
      <c r="I41" s="173" t="s">
        <v>1302</v>
      </c>
    </row>
    <row r="42" spans="1:9" ht="24" hidden="1">
      <c r="A42" s="1672" t="s">
        <v>1806</v>
      </c>
      <c r="B42" s="1670" t="s">
        <v>1807</v>
      </c>
      <c r="C42" s="1673" t="s">
        <v>1808</v>
      </c>
      <c r="D42" s="1673"/>
      <c r="E42" s="1671">
        <v>52320</v>
      </c>
      <c r="F42" s="1671">
        <v>62784</v>
      </c>
      <c r="G42" s="1671">
        <v>109</v>
      </c>
      <c r="I42" s="173" t="s">
        <v>577</v>
      </c>
    </row>
    <row r="43" spans="1:9" ht="24" hidden="1">
      <c r="A43" s="1672" t="s">
        <v>1806</v>
      </c>
      <c r="B43" s="1670" t="s">
        <v>1807</v>
      </c>
      <c r="C43" s="1673" t="s">
        <v>1809</v>
      </c>
      <c r="D43" s="1673"/>
      <c r="E43" s="1671">
        <v>24480</v>
      </c>
      <c r="F43" s="1671">
        <v>29376</v>
      </c>
      <c r="G43" s="1671">
        <v>51</v>
      </c>
      <c r="I43" s="173" t="s">
        <v>577</v>
      </c>
    </row>
    <row r="44" spans="1:9" ht="24" hidden="1">
      <c r="A44" s="1672" t="s">
        <v>1806</v>
      </c>
      <c r="B44" s="1670" t="s">
        <v>1807</v>
      </c>
      <c r="C44" s="1673" t="s">
        <v>1810</v>
      </c>
      <c r="D44" s="1673"/>
      <c r="E44" s="1671">
        <v>173280</v>
      </c>
      <c r="F44" s="1671">
        <v>207936</v>
      </c>
      <c r="G44" s="1671">
        <v>361</v>
      </c>
      <c r="I44" s="173" t="s">
        <v>577</v>
      </c>
    </row>
    <row r="45" spans="1:9" ht="36">
      <c r="A45" s="592" t="s">
        <v>1811</v>
      </c>
      <c r="B45" s="592" t="s">
        <v>1812</v>
      </c>
      <c r="C45" s="173" t="s">
        <v>1813</v>
      </c>
      <c r="D45" s="1682" t="s">
        <v>1814</v>
      </c>
      <c r="E45" s="1683">
        <v>218400</v>
      </c>
      <c r="F45" s="1671">
        <v>262080</v>
      </c>
      <c r="G45" s="1671">
        <v>455</v>
      </c>
      <c r="I45" s="173" t="s">
        <v>1832</v>
      </c>
    </row>
    <row r="46" spans="1:9" ht="36">
      <c r="A46" s="592" t="s">
        <v>1811</v>
      </c>
      <c r="B46" s="592" t="s">
        <v>1812</v>
      </c>
      <c r="C46" s="173" t="s">
        <v>1815</v>
      </c>
      <c r="D46" s="1682" t="s">
        <v>1816</v>
      </c>
      <c r="E46" s="1683">
        <v>145440</v>
      </c>
      <c r="F46" s="1671">
        <v>174528</v>
      </c>
      <c r="G46" s="1671">
        <v>303</v>
      </c>
      <c r="I46" s="173" t="s">
        <v>1832</v>
      </c>
    </row>
    <row r="47" spans="1:9" ht="36">
      <c r="A47" s="592" t="s">
        <v>1811</v>
      </c>
      <c r="B47" s="592" t="s">
        <v>1812</v>
      </c>
      <c r="C47" s="173" t="s">
        <v>1813</v>
      </c>
      <c r="D47" s="1682" t="s">
        <v>1817</v>
      </c>
      <c r="E47" s="1683">
        <v>156000</v>
      </c>
      <c r="F47" s="1671">
        <v>187200</v>
      </c>
      <c r="G47" s="1671">
        <v>325</v>
      </c>
      <c r="I47" s="173" t="s">
        <v>1832</v>
      </c>
    </row>
    <row r="48" spans="1:9">
      <c r="A48" s="592" t="s">
        <v>1811</v>
      </c>
      <c r="B48" s="592" t="s">
        <v>1812</v>
      </c>
      <c r="D48" s="1690" t="s">
        <v>1818</v>
      </c>
      <c r="E48" s="1691">
        <v>288000</v>
      </c>
      <c r="F48" s="1671">
        <v>345600</v>
      </c>
      <c r="G48" s="1671">
        <f>10*3*20</f>
        <v>600</v>
      </c>
      <c r="I48" s="173" t="s">
        <v>1832</v>
      </c>
    </row>
    <row r="49" spans="1:9" ht="24">
      <c r="A49" s="592" t="s">
        <v>1811</v>
      </c>
      <c r="B49" s="592" t="s">
        <v>1812</v>
      </c>
      <c r="D49" s="1690" t="s">
        <v>1819</v>
      </c>
      <c r="E49" s="1691">
        <v>192000</v>
      </c>
      <c r="F49" s="1671">
        <v>230400</v>
      </c>
      <c r="G49" s="1671">
        <f>10*2*20</f>
        <v>400</v>
      </c>
      <c r="I49" s="173" t="s">
        <v>1832</v>
      </c>
    </row>
    <row r="50" spans="1:9" ht="36" hidden="1">
      <c r="A50" s="592" t="s">
        <v>1811</v>
      </c>
      <c r="B50" s="592" t="s">
        <v>1812</v>
      </c>
      <c r="D50" s="1682" t="s">
        <v>1820</v>
      </c>
      <c r="E50" s="1683">
        <v>103680</v>
      </c>
      <c r="F50" s="1671">
        <v>124416</v>
      </c>
      <c r="G50" s="1671">
        <v>216</v>
      </c>
      <c r="H50" s="1684"/>
      <c r="I50" s="22" t="s">
        <v>1830</v>
      </c>
    </row>
    <row r="51" spans="1:9" ht="24" hidden="1">
      <c r="A51" s="592" t="s">
        <v>1746</v>
      </c>
      <c r="B51" s="592" t="s">
        <v>1747</v>
      </c>
      <c r="D51" s="1682" t="s">
        <v>1821</v>
      </c>
      <c r="E51" s="1683">
        <v>187200</v>
      </c>
      <c r="F51" s="1671">
        <v>224640</v>
      </c>
      <c r="G51" s="1671">
        <v>390</v>
      </c>
      <c r="H51" s="173" t="s">
        <v>1822</v>
      </c>
      <c r="I51" s="22" t="s">
        <v>1831</v>
      </c>
    </row>
    <row r="52" spans="1:9" hidden="1">
      <c r="A52" s="592" t="s">
        <v>1746</v>
      </c>
      <c r="B52" s="592" t="s">
        <v>1823</v>
      </c>
      <c r="D52" s="1685"/>
      <c r="E52" s="1683">
        <v>83040</v>
      </c>
      <c r="F52" s="1671">
        <v>99648</v>
      </c>
      <c r="G52" s="1671">
        <v>173</v>
      </c>
      <c r="I52" s="22" t="s">
        <v>1830</v>
      </c>
    </row>
    <row r="53" spans="1:9" hidden="1">
      <c r="A53" s="592" t="s">
        <v>1746</v>
      </c>
      <c r="B53" s="592" t="s">
        <v>1824</v>
      </c>
      <c r="D53" s="1685"/>
      <c r="E53" s="1683">
        <v>62400</v>
      </c>
      <c r="F53" s="1671">
        <v>74880</v>
      </c>
      <c r="G53" s="1671">
        <v>130</v>
      </c>
      <c r="I53" s="22" t="s">
        <v>1831</v>
      </c>
    </row>
    <row r="54" spans="1:9" hidden="1">
      <c r="A54" s="592" t="s">
        <v>1746</v>
      </c>
      <c r="B54" s="592" t="s">
        <v>1825</v>
      </c>
      <c r="D54" s="1685"/>
      <c r="E54" s="1683">
        <v>15360</v>
      </c>
      <c r="F54" s="1671">
        <v>18432</v>
      </c>
      <c r="G54" s="22">
        <v>32</v>
      </c>
      <c r="I54" s="22" t="s">
        <v>1830</v>
      </c>
    </row>
    <row r="55" spans="1:9">
      <c r="A55" s="592" t="s">
        <v>1746</v>
      </c>
      <c r="B55" s="592" t="s">
        <v>1826</v>
      </c>
      <c r="D55" s="1685"/>
      <c r="E55" s="1683">
        <v>93600</v>
      </c>
      <c r="F55" s="1671">
        <v>112320</v>
      </c>
      <c r="G55" s="1671">
        <v>195</v>
      </c>
      <c r="I55" s="173" t="s">
        <v>1832</v>
      </c>
    </row>
    <row r="56" spans="1:9" ht="24">
      <c r="A56" s="592" t="s">
        <v>1811</v>
      </c>
      <c r="B56" s="592" t="s">
        <v>1827</v>
      </c>
      <c r="D56" s="1685"/>
      <c r="E56" s="1683">
        <v>83040</v>
      </c>
      <c r="F56" s="1671">
        <v>99648</v>
      </c>
      <c r="G56" s="1671">
        <v>173</v>
      </c>
      <c r="I56" s="173" t="s">
        <v>1832</v>
      </c>
    </row>
    <row r="57" spans="1:9">
      <c r="A57" s="592" t="s">
        <v>1811</v>
      </c>
      <c r="B57" s="592" t="s">
        <v>1828</v>
      </c>
      <c r="D57" s="1685"/>
      <c r="E57" s="1683">
        <v>83520</v>
      </c>
      <c r="F57" s="1671">
        <v>100224</v>
      </c>
      <c r="G57" s="1671">
        <v>174</v>
      </c>
      <c r="I57" s="173" t="s">
        <v>1832</v>
      </c>
    </row>
    <row r="58" spans="1:9">
      <c r="A58" s="592" t="s">
        <v>1746</v>
      </c>
      <c r="B58" s="592" t="s">
        <v>1829</v>
      </c>
      <c r="D58" s="1685"/>
      <c r="E58" s="1683">
        <v>24000</v>
      </c>
      <c r="F58" s="1671">
        <v>28800</v>
      </c>
      <c r="G58" s="1671">
        <v>50</v>
      </c>
      <c r="I58" s="173" t="s">
        <v>1832</v>
      </c>
    </row>
    <row r="59" spans="1:9">
      <c r="E59" s="1671"/>
      <c r="F59" s="1671"/>
    </row>
    <row r="60" spans="1:9">
      <c r="D60" s="32" t="s">
        <v>1830</v>
      </c>
      <c r="E60" s="1689">
        <f>SUMIF($I$4:$I$58,D60,$E$4:$E$58)</f>
        <v>6003840</v>
      </c>
      <c r="F60" s="1689">
        <f>E60*1.2</f>
        <v>7204608</v>
      </c>
    </row>
    <row r="61" spans="1:9">
      <c r="D61" s="32" t="s">
        <v>1831</v>
      </c>
      <c r="E61" s="1689">
        <f>SUMIF($I$4:$I$58,D61,$E$4:$E$58)</f>
        <v>2012640</v>
      </c>
      <c r="F61" s="1689">
        <f t="shared" ref="F61:F65" si="0">E61*1.2</f>
        <v>2415168</v>
      </c>
    </row>
    <row r="62" spans="1:9">
      <c r="D62" s="32" t="s">
        <v>1302</v>
      </c>
      <c r="E62" s="1689">
        <f t="shared" ref="E62:E64" si="1">SUMIF($I$4:$I$58,D62,$E$4:$E$58)</f>
        <v>549600</v>
      </c>
      <c r="F62" s="1689">
        <f t="shared" si="0"/>
        <v>659520</v>
      </c>
    </row>
    <row r="63" spans="1:9">
      <c r="D63" s="32" t="s">
        <v>577</v>
      </c>
      <c r="E63" s="1689">
        <f t="shared" si="1"/>
        <v>250080</v>
      </c>
      <c r="F63" s="1689">
        <f t="shared" si="0"/>
        <v>300096</v>
      </c>
    </row>
    <row r="64" spans="1:9">
      <c r="D64" s="32" t="s">
        <v>1832</v>
      </c>
      <c r="E64" s="1689">
        <f t="shared" si="1"/>
        <v>1284000</v>
      </c>
      <c r="F64" s="1689">
        <f t="shared" si="0"/>
        <v>1540800</v>
      </c>
    </row>
    <row r="65" spans="5:6">
      <c r="E65" s="1687">
        <f>SUM(E60:E64)</f>
        <v>10100160</v>
      </c>
      <c r="F65" s="1671">
        <f t="shared" si="0"/>
        <v>12120192</v>
      </c>
    </row>
    <row r="66" spans="5:6">
      <c r="E66" s="1671"/>
      <c r="F66" s="1671"/>
    </row>
    <row r="67" spans="5:6">
      <c r="E67" s="1671"/>
      <c r="F67" s="1671"/>
    </row>
    <row r="68" spans="5:6">
      <c r="E68" s="1671"/>
      <c r="F68" s="1671"/>
    </row>
    <row r="69" spans="5:6">
      <c r="E69" s="1671"/>
      <c r="F69" s="1671"/>
    </row>
    <row r="70" spans="5:6">
      <c r="E70" s="1671"/>
      <c r="F70" s="1671"/>
    </row>
    <row r="71" spans="5:6">
      <c r="E71" s="1687"/>
      <c r="F71" s="1671"/>
    </row>
    <row r="72" spans="5:6">
      <c r="F72" s="1671"/>
    </row>
    <row r="73" spans="5:6">
      <c r="F73" s="1671"/>
    </row>
    <row r="74" spans="5:6">
      <c r="F74" s="1671"/>
    </row>
    <row r="75" spans="5:6">
      <c r="F75" s="1671"/>
    </row>
    <row r="76" spans="5:6">
      <c r="F76" s="1671"/>
    </row>
    <row r="77" spans="5:6">
      <c r="F77" s="1671"/>
    </row>
    <row r="78" spans="5:6">
      <c r="F78" s="1671"/>
    </row>
    <row r="79" spans="5:6">
      <c r="F79" s="1671"/>
    </row>
    <row r="80" spans="5:6">
      <c r="F80" s="1671"/>
    </row>
    <row r="81" spans="6:6">
      <c r="F81" s="1671"/>
    </row>
    <row r="82" spans="6:6">
      <c r="F82" s="1671"/>
    </row>
    <row r="83" spans="6:6">
      <c r="F83" s="1671"/>
    </row>
  </sheetData>
  <autoFilter ref="A3:I58">
    <filterColumn colId="8">
      <filters>
        <filter val="Tech platforma a Security"/>
      </filters>
    </filterColumn>
  </autoFilter>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2:AMJ22"/>
  <sheetViews>
    <sheetView zoomScale="110" zoomScaleNormal="110" workbookViewId="0">
      <selection activeCell="K8" sqref="K8"/>
    </sheetView>
  </sheetViews>
  <sheetFormatPr defaultColWidth="8.85546875" defaultRowHeight="15"/>
  <cols>
    <col min="1" max="1" width="4.28515625" style="1634" customWidth="1"/>
    <col min="2" max="2" width="42.140625" style="1634" customWidth="1"/>
    <col min="3" max="3" width="5.7109375" style="1634" bestFit="1" customWidth="1"/>
    <col min="4" max="4" width="11.140625" style="1634" customWidth="1"/>
    <col min="5" max="5" width="13.28515625" style="1634" customWidth="1"/>
    <col min="6" max="6" width="15.7109375" style="1634" customWidth="1"/>
    <col min="7" max="7" width="72.28515625" style="1634" customWidth="1"/>
    <col min="8" max="10" width="8.85546875" style="1634"/>
    <col min="11" max="11" width="11.28515625" style="1634" bestFit="1" customWidth="1"/>
    <col min="12" max="1024" width="8.85546875" style="1634"/>
    <col min="1025" max="16384" width="8.85546875" style="1641"/>
  </cols>
  <sheetData>
    <row r="2" spans="2:11">
      <c r="B2" s="1632" t="s">
        <v>196</v>
      </c>
      <c r="C2" s="1632" t="s">
        <v>261</v>
      </c>
      <c r="D2" s="1632" t="s">
        <v>260</v>
      </c>
      <c r="E2" s="1632" t="s">
        <v>1375</v>
      </c>
      <c r="F2" s="1632" t="s">
        <v>1376</v>
      </c>
      <c r="G2" s="1633" t="s">
        <v>1377</v>
      </c>
    </row>
    <row r="3" spans="2:11">
      <c r="B3" s="1635" t="s">
        <v>1378</v>
      </c>
      <c r="C3" s="1635">
        <v>1</v>
      </c>
      <c r="D3" s="1635" t="s">
        <v>262</v>
      </c>
      <c r="E3" s="1636">
        <v>2850000</v>
      </c>
      <c r="F3" s="1637">
        <f t="shared" ref="F3:F21" si="0">C3*E3</f>
        <v>2850000</v>
      </c>
      <c r="G3" s="1638" t="s">
        <v>1715</v>
      </c>
    </row>
    <row r="4" spans="2:11">
      <c r="B4" s="1635" t="s">
        <v>1380</v>
      </c>
      <c r="C4" s="1635">
        <v>5</v>
      </c>
      <c r="D4" s="1635" t="s">
        <v>1381</v>
      </c>
      <c r="E4" s="1636">
        <v>0</v>
      </c>
      <c r="F4" s="1637">
        <f t="shared" si="0"/>
        <v>0</v>
      </c>
      <c r="G4" s="1638" t="s">
        <v>1716</v>
      </c>
    </row>
    <row r="5" spans="2:11">
      <c r="B5" s="1635" t="s">
        <v>1383</v>
      </c>
      <c r="C5" s="1635">
        <v>1</v>
      </c>
      <c r="D5" s="1635" t="s">
        <v>262</v>
      </c>
      <c r="E5" s="1636">
        <v>0</v>
      </c>
      <c r="F5" s="1637">
        <f t="shared" si="0"/>
        <v>0</v>
      </c>
      <c r="G5" s="1638" t="s">
        <v>1717</v>
      </c>
    </row>
    <row r="6" spans="2:11">
      <c r="B6" s="1635" t="s">
        <v>1385</v>
      </c>
      <c r="C6" s="1635">
        <v>5</v>
      </c>
      <c r="D6" s="1635" t="s">
        <v>1381</v>
      </c>
      <c r="E6" s="1636">
        <v>0</v>
      </c>
      <c r="F6" s="1637">
        <f t="shared" si="0"/>
        <v>0</v>
      </c>
      <c r="G6" s="1638" t="s">
        <v>1718</v>
      </c>
    </row>
    <row r="7" spans="2:11">
      <c r="B7" s="1635" t="s">
        <v>1387</v>
      </c>
      <c r="C7" s="1635">
        <v>1</v>
      </c>
      <c r="D7" s="1635" t="s">
        <v>262</v>
      </c>
      <c r="E7" s="1636">
        <v>7250000</v>
      </c>
      <c r="F7" s="1637">
        <f t="shared" si="0"/>
        <v>7250000</v>
      </c>
      <c r="G7" s="1638" t="s">
        <v>1388</v>
      </c>
    </row>
    <row r="8" spans="2:11">
      <c r="B8" s="1635" t="s">
        <v>1389</v>
      </c>
      <c r="C8" s="1635">
        <v>60</v>
      </c>
      <c r="D8" s="1635" t="s">
        <v>1390</v>
      </c>
      <c r="E8" s="1636">
        <v>125000</v>
      </c>
      <c r="F8" s="1637">
        <f t="shared" si="0"/>
        <v>7500000</v>
      </c>
      <c r="G8" s="1638" t="s">
        <v>1391</v>
      </c>
      <c r="K8" s="1753"/>
    </row>
    <row r="9" spans="2:11" ht="25.5">
      <c r="B9" s="1635" t="s">
        <v>1392</v>
      </c>
      <c r="C9" s="1635">
        <v>1454</v>
      </c>
      <c r="D9" s="1635" t="s">
        <v>1393</v>
      </c>
      <c r="E9" s="1636"/>
      <c r="F9" s="1637">
        <f t="shared" si="0"/>
        <v>0</v>
      </c>
      <c r="G9" s="1638" t="s">
        <v>1394</v>
      </c>
    </row>
    <row r="10" spans="2:11" ht="25.5">
      <c r="B10" s="1635" t="s">
        <v>1399</v>
      </c>
      <c r="C10" s="1635">
        <v>1</v>
      </c>
      <c r="D10" s="1635" t="s">
        <v>262</v>
      </c>
      <c r="E10" s="1636"/>
      <c r="F10" s="1637">
        <f t="shared" si="0"/>
        <v>0</v>
      </c>
      <c r="G10" s="1638" t="s">
        <v>1400</v>
      </c>
    </row>
    <row r="11" spans="2:11">
      <c r="B11" s="1635" t="s">
        <v>1401</v>
      </c>
      <c r="C11" s="1635">
        <v>1</v>
      </c>
      <c r="D11" s="1635" t="s">
        <v>262</v>
      </c>
      <c r="E11" s="1636">
        <v>250000</v>
      </c>
      <c r="F11" s="1637">
        <f t="shared" si="0"/>
        <v>250000</v>
      </c>
      <c r="G11" s="1638" t="s">
        <v>1402</v>
      </c>
    </row>
    <row r="12" spans="2:11">
      <c r="B12" s="1635" t="s">
        <v>1403</v>
      </c>
      <c r="C12" s="1635">
        <v>1</v>
      </c>
      <c r="D12" s="1635" t="s">
        <v>262</v>
      </c>
      <c r="E12" s="1636">
        <v>550000</v>
      </c>
      <c r="F12" s="1637">
        <f t="shared" si="0"/>
        <v>550000</v>
      </c>
      <c r="G12" s="1638" t="s">
        <v>1404</v>
      </c>
    </row>
    <row r="13" spans="2:11">
      <c r="B13" s="1635" t="s">
        <v>1405</v>
      </c>
      <c r="C13" s="1639">
        <v>12188</v>
      </c>
      <c r="D13" s="1635" t="s">
        <v>262</v>
      </c>
      <c r="E13" s="1636"/>
      <c r="F13" s="1637">
        <f t="shared" si="0"/>
        <v>0</v>
      </c>
      <c r="G13" s="1638" t="s">
        <v>1406</v>
      </c>
    </row>
    <row r="14" spans="2:11">
      <c r="B14" s="1635" t="s">
        <v>1407</v>
      </c>
      <c r="C14" s="1639">
        <v>6835</v>
      </c>
      <c r="D14" s="1635" t="s">
        <v>262</v>
      </c>
      <c r="E14" s="1636"/>
      <c r="F14" s="1637">
        <f t="shared" si="0"/>
        <v>0</v>
      </c>
      <c r="G14" s="1638" t="s">
        <v>1408</v>
      </c>
    </row>
    <row r="15" spans="2:11">
      <c r="B15" s="1635" t="s">
        <v>1409</v>
      </c>
      <c r="C15" s="1639">
        <v>6835</v>
      </c>
      <c r="D15" s="1635" t="s">
        <v>262</v>
      </c>
      <c r="E15" s="1636"/>
      <c r="F15" s="1637">
        <f t="shared" si="0"/>
        <v>0</v>
      </c>
      <c r="G15" s="1638" t="s">
        <v>1410</v>
      </c>
    </row>
    <row r="16" spans="2:11">
      <c r="B16" s="1635" t="s">
        <v>1411</v>
      </c>
      <c r="C16" s="1639">
        <v>50</v>
      </c>
      <c r="D16" s="1635" t="s">
        <v>262</v>
      </c>
      <c r="E16" s="1636"/>
      <c r="F16" s="1637">
        <f t="shared" si="0"/>
        <v>0</v>
      </c>
      <c r="G16" s="1638" t="s">
        <v>1412</v>
      </c>
    </row>
    <row r="17" spans="2:7">
      <c r="B17" s="1635" t="s">
        <v>1413</v>
      </c>
      <c r="C17" s="1639">
        <v>1</v>
      </c>
      <c r="D17" s="1635" t="s">
        <v>262</v>
      </c>
      <c r="E17" s="1636">
        <v>1950000</v>
      </c>
      <c r="F17" s="1637">
        <f t="shared" si="0"/>
        <v>1950000</v>
      </c>
      <c r="G17" s="1638" t="s">
        <v>1414</v>
      </c>
    </row>
    <row r="18" spans="2:7" ht="15.4" customHeight="1">
      <c r="B18" s="1635" t="s">
        <v>1415</v>
      </c>
      <c r="C18" s="1639">
        <v>60</v>
      </c>
      <c r="D18" s="1635" t="s">
        <v>1390</v>
      </c>
      <c r="E18" s="1636"/>
      <c r="F18" s="1637">
        <f t="shared" si="0"/>
        <v>0</v>
      </c>
      <c r="G18" s="1638" t="s">
        <v>1416</v>
      </c>
    </row>
    <row r="19" spans="2:7">
      <c r="B19" s="1635" t="s">
        <v>1417</v>
      </c>
      <c r="C19" s="1635">
        <v>50</v>
      </c>
      <c r="D19" s="1635" t="s">
        <v>262</v>
      </c>
      <c r="E19" s="1636"/>
      <c r="F19" s="1637">
        <f t="shared" si="0"/>
        <v>0</v>
      </c>
      <c r="G19" s="1638" t="s">
        <v>1418</v>
      </c>
    </row>
    <row r="20" spans="2:7">
      <c r="B20" s="1635" t="s">
        <v>1419</v>
      </c>
      <c r="C20" s="1635">
        <v>100</v>
      </c>
      <c r="D20" s="1635" t="s">
        <v>262</v>
      </c>
      <c r="E20" s="1636"/>
      <c r="F20" s="1637">
        <f t="shared" si="0"/>
        <v>0</v>
      </c>
      <c r="G20" s="1638" t="s">
        <v>1420</v>
      </c>
    </row>
    <row r="21" spans="2:7">
      <c r="B21" s="1635" t="s">
        <v>1421</v>
      </c>
      <c r="C21" s="1639">
        <v>60</v>
      </c>
      <c r="D21" s="1635" t="s">
        <v>1390</v>
      </c>
      <c r="E21" s="1636"/>
      <c r="F21" s="1637">
        <f t="shared" si="0"/>
        <v>0</v>
      </c>
      <c r="G21" s="1638" t="s">
        <v>1422</v>
      </c>
    </row>
    <row r="22" spans="2:7">
      <c r="F22" s="1640">
        <f>SUM(F3:F21)</f>
        <v>20350000</v>
      </c>
    </row>
  </sheetData>
  <pageMargins left="0.7" right="0.7" top="0.75" bottom="0.75" header="0.511811023622047" footer="0.511811023622047"/>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79998168889431442"/>
  </sheetPr>
  <dimension ref="A1:AMJ54"/>
  <sheetViews>
    <sheetView topLeftCell="A3" zoomScaleNormal="100" workbookViewId="0">
      <selection activeCell="G7" sqref="G7"/>
    </sheetView>
  </sheetViews>
  <sheetFormatPr defaultColWidth="8.85546875" defaultRowHeight="15"/>
  <cols>
    <col min="1" max="1" width="4.5703125" style="1043" customWidth="1"/>
    <col min="2" max="2" width="24.5703125" style="1043" customWidth="1"/>
    <col min="3" max="3" width="14.85546875" style="1043" customWidth="1"/>
    <col min="4" max="12" width="14" style="1043" customWidth="1"/>
    <col min="13" max="16" width="12.5703125" style="1043" customWidth="1"/>
    <col min="17" max="17" width="10.5703125" style="1043" customWidth="1"/>
    <col min="18" max="1024" width="8.85546875" style="1043"/>
    <col min="1025" max="16384" width="8.85546875" style="1171"/>
  </cols>
  <sheetData>
    <row r="1" spans="1:16" s="1041" customFormat="1" ht="15.75">
      <c r="A1" s="1040" t="s">
        <v>368</v>
      </c>
    </row>
    <row r="2" spans="1:16" ht="15.75" thickBot="1">
      <c r="A2" s="1042" t="s">
        <v>208</v>
      </c>
    </row>
    <row r="3" spans="1:16" s="1044" customFormat="1">
      <c r="B3" s="1045" t="s">
        <v>1281</v>
      </c>
      <c r="C3" s="1046" t="s">
        <v>265</v>
      </c>
      <c r="D3" s="1047"/>
      <c r="E3" s="1048"/>
      <c r="F3" s="1049" t="s">
        <v>264</v>
      </c>
      <c r="G3" s="1047"/>
      <c r="H3" s="1050"/>
      <c r="I3" s="1046" t="s">
        <v>4</v>
      </c>
      <c r="J3" s="1047"/>
      <c r="K3" s="1051"/>
    </row>
    <row r="4" spans="1:16" s="1052" customFormat="1" ht="24.75">
      <c r="B4" s="1053"/>
      <c r="C4" s="1054" t="s">
        <v>925</v>
      </c>
      <c r="D4" s="1055" t="s">
        <v>1367</v>
      </c>
      <c r="E4" s="1056" t="s">
        <v>1366</v>
      </c>
      <c r="F4" s="1057" t="s">
        <v>925</v>
      </c>
      <c r="G4" s="1055" t="s">
        <v>1367</v>
      </c>
      <c r="H4" s="1058" t="s">
        <v>1366</v>
      </c>
      <c r="I4" s="1054" t="s">
        <v>1262</v>
      </c>
      <c r="J4" s="1055" t="s">
        <v>1368</v>
      </c>
      <c r="K4" s="1059" t="s">
        <v>1366</v>
      </c>
    </row>
    <row r="5" spans="1:16" s="1052" customFormat="1">
      <c r="B5" s="1060" t="s">
        <v>571</v>
      </c>
      <c r="C5" s="1867">
        <v>4173</v>
      </c>
      <c r="D5" s="1062">
        <v>0</v>
      </c>
      <c r="E5" s="1063">
        <f t="shared" ref="E5:E10" si="0">D5*$C$5</f>
        <v>0</v>
      </c>
      <c r="F5" s="1870">
        <v>2015</v>
      </c>
      <c r="G5" s="1062">
        <v>0</v>
      </c>
      <c r="H5" s="1065">
        <f t="shared" ref="H5:H7" si="1">G5*$F$5</f>
        <v>0</v>
      </c>
      <c r="I5" s="1872">
        <v>716</v>
      </c>
      <c r="J5" s="1067">
        <v>0</v>
      </c>
      <c r="K5" s="1068">
        <f>J5*$I$5</f>
        <v>0</v>
      </c>
    </row>
    <row r="6" spans="1:16" s="1052" customFormat="1">
      <c r="B6" s="1069" t="s">
        <v>1582</v>
      </c>
      <c r="C6" s="1868"/>
      <c r="D6" s="1070">
        <v>0.5</v>
      </c>
      <c r="E6" s="1071">
        <f t="shared" si="0"/>
        <v>2086.5</v>
      </c>
      <c r="F6" s="1871"/>
      <c r="G6" s="1070">
        <v>0.2</v>
      </c>
      <c r="H6" s="1072">
        <f t="shared" si="1"/>
        <v>403</v>
      </c>
      <c r="I6" s="1873"/>
      <c r="J6" s="1073">
        <v>0</v>
      </c>
      <c r="K6" s="1074">
        <f>J6*$I$5</f>
        <v>0</v>
      </c>
    </row>
    <row r="7" spans="1:16" s="1052" customFormat="1">
      <c r="B7" s="1069" t="s">
        <v>573</v>
      </c>
      <c r="C7" s="1868"/>
      <c r="D7" s="1070">
        <v>1</v>
      </c>
      <c r="E7" s="1071">
        <f t="shared" si="0"/>
        <v>4173</v>
      </c>
      <c r="F7" s="1871"/>
      <c r="G7" s="1070">
        <v>1</v>
      </c>
      <c r="H7" s="1072">
        <f t="shared" si="1"/>
        <v>2015</v>
      </c>
      <c r="I7" s="1873"/>
      <c r="J7" s="1075">
        <v>2.1</v>
      </c>
      <c r="K7" s="1074">
        <f>J7*$I$5-100</f>
        <v>1403.6000000000001</v>
      </c>
    </row>
    <row r="8" spans="1:16" s="1052" customFormat="1">
      <c r="B8" s="1069" t="s">
        <v>574</v>
      </c>
      <c r="C8" s="1868"/>
      <c r="D8" s="1070">
        <v>0</v>
      </c>
      <c r="E8" s="1071">
        <f t="shared" si="0"/>
        <v>0</v>
      </c>
      <c r="F8" s="1871">
        <f>F5*4.2</f>
        <v>8463</v>
      </c>
      <c r="G8" s="1076">
        <v>0</v>
      </c>
      <c r="H8" s="1077">
        <f>G8*$F$8</f>
        <v>0</v>
      </c>
      <c r="I8" s="1873"/>
      <c r="J8" s="1075">
        <v>2.1</v>
      </c>
      <c r="K8" s="1074">
        <f>J8*$I$5-100</f>
        <v>1403.6000000000001</v>
      </c>
      <c r="M8" s="1052" t="s">
        <v>1636</v>
      </c>
      <c r="P8" s="1052" t="s">
        <v>1637</v>
      </c>
    </row>
    <row r="9" spans="1:16" s="1052" customFormat="1">
      <c r="B9" s="1069" t="s">
        <v>575</v>
      </c>
      <c r="C9" s="1868"/>
      <c r="D9" s="1078">
        <v>0.55000000000000004</v>
      </c>
      <c r="E9" s="1071">
        <f t="shared" si="0"/>
        <v>2295.15</v>
      </c>
      <c r="F9" s="1871"/>
      <c r="G9" s="1079">
        <v>0.4</v>
      </c>
      <c r="H9" s="1077">
        <f>G9*$F$8</f>
        <v>3385.2000000000003</v>
      </c>
      <c r="I9" s="1873"/>
      <c r="J9" s="1075">
        <v>2.1</v>
      </c>
      <c r="K9" s="1074">
        <f>J9*$I$5-100</f>
        <v>1403.6000000000001</v>
      </c>
    </row>
    <row r="10" spans="1:16" s="1052" customFormat="1">
      <c r="B10" s="1080" t="s">
        <v>578</v>
      </c>
      <c r="C10" s="1869"/>
      <c r="D10" s="1082">
        <v>0.55000000000000004</v>
      </c>
      <c r="E10" s="1083">
        <f t="shared" si="0"/>
        <v>2295.15</v>
      </c>
      <c r="F10" s="1875"/>
      <c r="G10" s="1085">
        <v>0.5</v>
      </c>
      <c r="H10" s="1086">
        <f>G10*$F$8</f>
        <v>4231.5</v>
      </c>
      <c r="I10" s="1874"/>
      <c r="J10" s="1088">
        <v>2.1</v>
      </c>
      <c r="K10" s="1089">
        <f>J10*$I$5-100</f>
        <v>1403.6000000000001</v>
      </c>
    </row>
    <row r="11" spans="1:16" s="1052" customFormat="1">
      <c r="B11" s="1090" t="s">
        <v>913</v>
      </c>
      <c r="C11" s="1061">
        <v>0</v>
      </c>
      <c r="D11" s="1091"/>
      <c r="E11" s="1092"/>
      <c r="F11" s="1064">
        <v>50</v>
      </c>
      <c r="G11" s="1093"/>
      <c r="H11" s="1094"/>
      <c r="I11" s="1066"/>
      <c r="J11" s="1095"/>
      <c r="K11" s="1096"/>
      <c r="M11" s="1052" t="s">
        <v>1583</v>
      </c>
    </row>
    <row r="12" spans="1:16" s="1052" customFormat="1">
      <c r="B12" s="1097" t="s">
        <v>914</v>
      </c>
      <c r="C12" s="1081">
        <v>0</v>
      </c>
      <c r="D12" s="1082"/>
      <c r="E12" s="1083"/>
      <c r="F12" s="1084">
        <v>100</v>
      </c>
      <c r="G12" s="1085"/>
      <c r="H12" s="1086"/>
      <c r="I12" s="1087"/>
      <c r="J12" s="1098"/>
      <c r="K12" s="1089"/>
    </row>
    <row r="13" spans="1:16" s="1052" customFormat="1">
      <c r="B13" s="1099" t="s">
        <v>1580</v>
      </c>
      <c r="C13" s="1066">
        <v>3</v>
      </c>
      <c r="D13" s="1100">
        <v>1</v>
      </c>
      <c r="E13" s="1101">
        <f>D13*$C$13</f>
        <v>3</v>
      </c>
      <c r="F13" s="1102">
        <v>5</v>
      </c>
      <c r="G13" s="1100">
        <v>1</v>
      </c>
      <c r="H13" s="1103">
        <f>G13*$F$13</f>
        <v>5</v>
      </c>
      <c r="I13" s="1066">
        <v>5</v>
      </c>
      <c r="J13" s="1091">
        <v>1</v>
      </c>
      <c r="K13" s="1104">
        <f>J13*$I$13</f>
        <v>5</v>
      </c>
    </row>
    <row r="14" spans="1:16" s="1052" customFormat="1" ht="15.75" thickBot="1">
      <c r="B14" s="1105" t="s">
        <v>1581</v>
      </c>
      <c r="C14" s="1106">
        <v>30</v>
      </c>
      <c r="D14" s="1107">
        <v>1</v>
      </c>
      <c r="E14" s="1108">
        <f>D14*$C$14</f>
        <v>30</v>
      </c>
      <c r="F14" s="1109">
        <v>8</v>
      </c>
      <c r="G14" s="1107">
        <v>1</v>
      </c>
      <c r="H14" s="1110">
        <f>G14*$F$14</f>
        <v>8</v>
      </c>
      <c r="I14" s="1106">
        <v>2</v>
      </c>
      <c r="J14" s="1111">
        <v>1</v>
      </c>
      <c r="K14" s="1112">
        <f>J14*$I$14</f>
        <v>2</v>
      </c>
    </row>
    <row r="15" spans="1:16" s="1052" customFormat="1">
      <c r="B15" s="1113"/>
      <c r="C15" s="1114"/>
      <c r="D15" s="1115"/>
      <c r="E15" s="1116"/>
      <c r="F15" s="1115"/>
    </row>
    <row r="16" spans="1:16" ht="15.75" thickBot="1">
      <c r="A16" s="1042"/>
      <c r="B16" s="1117" t="s">
        <v>910</v>
      </c>
    </row>
    <row r="17" spans="1:14" s="1043" customFormat="1" ht="14.25" customHeight="1">
      <c r="B17" s="1480"/>
      <c r="C17" s="1481"/>
      <c r="D17" s="1876" t="s">
        <v>680</v>
      </c>
      <c r="E17" s="1876"/>
      <c r="F17" s="1876"/>
      <c r="G17" s="1876" t="s">
        <v>681</v>
      </c>
      <c r="H17" s="1876"/>
      <c r="I17" s="1876"/>
      <c r="J17" s="1866" t="s">
        <v>682</v>
      </c>
      <c r="K17" s="1866"/>
      <c r="L17" s="1866"/>
      <c r="N17" s="1043" t="s">
        <v>1584</v>
      </c>
    </row>
    <row r="18" spans="1:14" s="1043" customFormat="1" ht="12">
      <c r="B18" s="1118"/>
      <c r="C18" s="1119" t="s">
        <v>907</v>
      </c>
      <c r="D18" s="1120" t="s">
        <v>904</v>
      </c>
      <c r="E18" s="1120" t="s">
        <v>261</v>
      </c>
      <c r="F18" s="1121" t="s">
        <v>912</v>
      </c>
      <c r="G18" s="1120" t="s">
        <v>904</v>
      </c>
      <c r="H18" s="1120" t="s">
        <v>261</v>
      </c>
      <c r="I18" s="1121" t="s">
        <v>912</v>
      </c>
      <c r="J18" s="1120" t="s">
        <v>904</v>
      </c>
      <c r="K18" s="1122" t="s">
        <v>261</v>
      </c>
      <c r="L18" s="1123" t="s">
        <v>912</v>
      </c>
    </row>
    <row r="19" spans="1:14" s="1043" customFormat="1" ht="12">
      <c r="B19" s="1124" t="s">
        <v>571</v>
      </c>
      <c r="C19" s="1488">
        <v>1000</v>
      </c>
      <c r="D19" s="1125" t="s">
        <v>909</v>
      </c>
      <c r="E19" s="1496">
        <v>0</v>
      </c>
      <c r="F19" s="1126">
        <f t="shared" ref="F19:F24" si="2">E19*C19</f>
        <v>0</v>
      </c>
      <c r="G19" s="1125" t="s">
        <v>909</v>
      </c>
      <c r="H19" s="1496">
        <f>SUM(E5,H5,K5)</f>
        <v>0</v>
      </c>
      <c r="I19" s="1127">
        <f t="shared" ref="I19:I24" si="3">H19*C19</f>
        <v>0</v>
      </c>
      <c r="J19" s="1125" t="s">
        <v>909</v>
      </c>
      <c r="K19" s="1496">
        <f>SUM(E5,H5,K5)</f>
        <v>0</v>
      </c>
      <c r="L19" s="1128">
        <f t="shared" ref="L19:L24" si="4">K19*C19</f>
        <v>0</v>
      </c>
    </row>
    <row r="20" spans="1:14" s="1043" customFormat="1" ht="13.5">
      <c r="B20" s="1129" t="s">
        <v>1582</v>
      </c>
      <c r="C20" s="1489">
        <v>1900</v>
      </c>
      <c r="D20" s="1130" t="s">
        <v>1585</v>
      </c>
      <c r="E20" s="1502">
        <f>E6</f>
        <v>2086.5</v>
      </c>
      <c r="F20" s="1131">
        <f t="shared" si="2"/>
        <v>3964350</v>
      </c>
      <c r="G20" s="1130" t="s">
        <v>1585</v>
      </c>
      <c r="H20" s="1497">
        <f>SUM(E6,H6,K6)</f>
        <v>2489.5</v>
      </c>
      <c r="I20" s="1132">
        <f t="shared" si="3"/>
        <v>4730050</v>
      </c>
      <c r="J20" s="1130" t="s">
        <v>1585</v>
      </c>
      <c r="K20" s="1497">
        <f>SUM(E6,H6,K6)</f>
        <v>2489.5</v>
      </c>
      <c r="L20" s="1133">
        <f t="shared" si="4"/>
        <v>4730050</v>
      </c>
      <c r="N20" s="1043" t="s">
        <v>1586</v>
      </c>
    </row>
    <row r="21" spans="1:14" s="1043" customFormat="1" ht="13.5">
      <c r="B21" s="1134" t="s">
        <v>573</v>
      </c>
      <c r="C21" s="1490">
        <v>300</v>
      </c>
      <c r="D21" s="1135"/>
      <c r="E21" s="1503">
        <v>0</v>
      </c>
      <c r="F21" s="1136">
        <f t="shared" si="2"/>
        <v>0</v>
      </c>
      <c r="G21" s="1135" t="s">
        <v>909</v>
      </c>
      <c r="H21" s="1498">
        <f>SUM(E7,H7,K7)</f>
        <v>7591.6</v>
      </c>
      <c r="I21" s="1137">
        <f t="shared" si="3"/>
        <v>2277480</v>
      </c>
      <c r="J21" s="1135" t="s">
        <v>909</v>
      </c>
      <c r="K21" s="1498">
        <f>SUM(E7,H7,K7)</f>
        <v>7591.6</v>
      </c>
      <c r="L21" s="1138">
        <f t="shared" si="4"/>
        <v>2277480</v>
      </c>
    </row>
    <row r="22" spans="1:14" s="1043" customFormat="1" ht="13.5">
      <c r="B22" s="1090" t="s">
        <v>1587</v>
      </c>
      <c r="C22" s="1491">
        <v>500</v>
      </c>
      <c r="D22" s="1152" t="s">
        <v>265</v>
      </c>
      <c r="E22" s="1504">
        <v>0</v>
      </c>
      <c r="F22" s="1139">
        <f t="shared" si="2"/>
        <v>0</v>
      </c>
      <c r="G22" s="1152" t="s">
        <v>265</v>
      </c>
      <c r="H22" s="1141">
        <f>E8</f>
        <v>0</v>
      </c>
      <c r="I22" s="1140">
        <f t="shared" si="3"/>
        <v>0</v>
      </c>
      <c r="J22" s="1152" t="s">
        <v>265</v>
      </c>
      <c r="K22" s="1141">
        <f>E8</f>
        <v>0</v>
      </c>
      <c r="L22" s="1142">
        <f t="shared" si="4"/>
        <v>0</v>
      </c>
      <c r="N22" s="1043" t="s">
        <v>1588</v>
      </c>
    </row>
    <row r="23" spans="1:14" s="1043" customFormat="1" ht="13.5">
      <c r="B23" s="1129" t="s">
        <v>1589</v>
      </c>
      <c r="C23" s="1489">
        <v>650</v>
      </c>
      <c r="D23" s="1130" t="s">
        <v>265</v>
      </c>
      <c r="E23" s="1502">
        <v>0</v>
      </c>
      <c r="F23" s="1131">
        <f t="shared" si="2"/>
        <v>0</v>
      </c>
      <c r="G23" s="1130" t="s">
        <v>265</v>
      </c>
      <c r="H23" s="1497">
        <v>0</v>
      </c>
      <c r="I23" s="1132">
        <f t="shared" si="3"/>
        <v>0</v>
      </c>
      <c r="J23" s="1130" t="s">
        <v>265</v>
      </c>
      <c r="K23" s="1497">
        <v>0</v>
      </c>
      <c r="L23" s="1133">
        <f t="shared" si="4"/>
        <v>0</v>
      </c>
      <c r="N23" s="1043" t="s">
        <v>1590</v>
      </c>
    </row>
    <row r="24" spans="1:14" s="1043" customFormat="1" ht="13.5">
      <c r="B24" s="1129" t="s">
        <v>1591</v>
      </c>
      <c r="C24" s="1489">
        <v>850</v>
      </c>
      <c r="D24" s="1130" t="s">
        <v>265</v>
      </c>
      <c r="E24" s="1502">
        <v>0</v>
      </c>
      <c r="F24" s="1131">
        <f t="shared" si="2"/>
        <v>0</v>
      </c>
      <c r="G24" s="1130" t="s">
        <v>265</v>
      </c>
      <c r="H24" s="1497">
        <v>0</v>
      </c>
      <c r="I24" s="1132">
        <f t="shared" si="3"/>
        <v>0</v>
      </c>
      <c r="J24" s="1130" t="s">
        <v>265</v>
      </c>
      <c r="K24" s="1497">
        <f>E10</f>
        <v>2295.15</v>
      </c>
      <c r="L24" s="1133">
        <f t="shared" si="4"/>
        <v>1950877.5</v>
      </c>
    </row>
    <row r="25" spans="1:14" s="1043" customFormat="1" ht="13.5">
      <c r="A25" s="1143"/>
      <c r="B25" s="1144" t="s">
        <v>1624</v>
      </c>
      <c r="C25" s="1492">
        <v>1600</v>
      </c>
      <c r="D25" s="1495" t="s">
        <v>265</v>
      </c>
      <c r="E25" s="1502">
        <v>0</v>
      </c>
      <c r="F25" s="1131"/>
      <c r="G25" s="1495" t="s">
        <v>265</v>
      </c>
      <c r="H25" s="1499">
        <f>C5</f>
        <v>4173</v>
      </c>
      <c r="I25" s="1145">
        <f>H25*C25</f>
        <v>6676800</v>
      </c>
      <c r="J25" s="1495" t="s">
        <v>265</v>
      </c>
      <c r="K25" s="1499">
        <v>0</v>
      </c>
      <c r="L25" s="1146">
        <f>K25*C25</f>
        <v>0</v>
      </c>
    </row>
    <row r="26" spans="1:14" s="1043" customFormat="1" ht="13.5">
      <c r="A26" s="1143"/>
      <c r="B26" s="1144" t="s">
        <v>1593</v>
      </c>
      <c r="C26" s="1492">
        <v>2000</v>
      </c>
      <c r="D26" s="1495" t="s">
        <v>265</v>
      </c>
      <c r="E26" s="1502">
        <v>0</v>
      </c>
      <c r="F26" s="1131"/>
      <c r="G26" s="1495" t="s">
        <v>265</v>
      </c>
      <c r="H26" s="1499">
        <v>0</v>
      </c>
      <c r="I26" s="1145">
        <f>H26*C26</f>
        <v>0</v>
      </c>
      <c r="J26" s="1495" t="s">
        <v>265</v>
      </c>
      <c r="K26" s="1499">
        <f>C5</f>
        <v>4173</v>
      </c>
      <c r="L26" s="1146">
        <f>K26*C26</f>
        <v>8346000</v>
      </c>
    </row>
    <row r="27" spans="1:14" s="1043" customFormat="1" ht="13.5">
      <c r="A27" s="1143"/>
      <c r="B27" s="1144" t="s">
        <v>1594</v>
      </c>
      <c r="C27" s="1492">
        <v>1600</v>
      </c>
      <c r="D27" s="1495" t="s">
        <v>264</v>
      </c>
      <c r="E27" s="1502">
        <v>0</v>
      </c>
      <c r="F27" s="1131"/>
      <c r="G27" s="1495" t="s">
        <v>264</v>
      </c>
      <c r="H27" s="1499">
        <f>H8</f>
        <v>0</v>
      </c>
      <c r="I27" s="1145"/>
      <c r="J27" s="1495" t="s">
        <v>264</v>
      </c>
      <c r="K27" s="1499">
        <f>H8</f>
        <v>0</v>
      </c>
      <c r="L27" s="1146"/>
    </row>
    <row r="28" spans="1:14" s="1043" customFormat="1" ht="13.5">
      <c r="A28" s="1143"/>
      <c r="B28" s="1144" t="s">
        <v>1595</v>
      </c>
      <c r="C28" s="1492">
        <v>1800</v>
      </c>
      <c r="D28" s="1495" t="s">
        <v>264</v>
      </c>
      <c r="E28" s="1502">
        <v>0</v>
      </c>
      <c r="F28" s="1131"/>
      <c r="G28" s="1495" t="s">
        <v>264</v>
      </c>
      <c r="H28" s="1499">
        <v>0</v>
      </c>
      <c r="I28" s="1145"/>
      <c r="J28" s="1495" t="s">
        <v>264</v>
      </c>
      <c r="K28" s="1499">
        <v>0</v>
      </c>
      <c r="L28" s="1146"/>
    </row>
    <row r="29" spans="1:14" s="1043" customFormat="1" ht="13.5">
      <c r="A29" s="1143"/>
      <c r="B29" s="1144" t="s">
        <v>1596</v>
      </c>
      <c r="C29" s="1492">
        <v>2000</v>
      </c>
      <c r="D29" s="1495" t="s">
        <v>264</v>
      </c>
      <c r="E29" s="1502">
        <v>0</v>
      </c>
      <c r="F29" s="1131"/>
      <c r="G29" s="1495" t="s">
        <v>264</v>
      </c>
      <c r="H29" s="1499">
        <v>0</v>
      </c>
      <c r="I29" s="1145"/>
      <c r="J29" s="1495" t="s">
        <v>264</v>
      </c>
      <c r="K29" s="1499">
        <f>H10</f>
        <v>4231.5</v>
      </c>
      <c r="L29" s="1146">
        <f>K29*C29</f>
        <v>8463000</v>
      </c>
    </row>
    <row r="30" spans="1:14" s="1043" customFormat="1" ht="13.5">
      <c r="A30" s="1143"/>
      <c r="B30" s="1144" t="s">
        <v>1597</v>
      </c>
      <c r="C30" s="1492">
        <v>3000</v>
      </c>
      <c r="D30" s="1495" t="s">
        <v>4</v>
      </c>
      <c r="E30" s="1502">
        <v>0</v>
      </c>
      <c r="F30" s="1131"/>
      <c r="G30" s="1495" t="s">
        <v>4</v>
      </c>
      <c r="H30" s="1499">
        <f>K8</f>
        <v>1403.6000000000001</v>
      </c>
      <c r="I30" s="1145">
        <f>H30*C30</f>
        <v>4210800</v>
      </c>
      <c r="J30" s="1495" t="s">
        <v>4</v>
      </c>
      <c r="K30" s="1499">
        <v>0</v>
      </c>
      <c r="L30" s="1146"/>
    </row>
    <row r="31" spans="1:14" s="1043" customFormat="1" ht="13.5">
      <c r="B31" s="1097" t="s">
        <v>1598</v>
      </c>
      <c r="C31" s="1493">
        <v>3500</v>
      </c>
      <c r="D31" s="1150" t="s">
        <v>4</v>
      </c>
      <c r="E31" s="1505">
        <v>0</v>
      </c>
      <c r="F31" s="1147"/>
      <c r="G31" s="1150" t="s">
        <v>4</v>
      </c>
      <c r="H31" s="1500">
        <v>0</v>
      </c>
      <c r="I31" s="1148"/>
      <c r="J31" s="1150" t="s">
        <v>4</v>
      </c>
      <c r="K31" s="1500">
        <f>K9</f>
        <v>1403.6000000000001</v>
      </c>
      <c r="L31" s="1149">
        <f t="shared" ref="L31:L37" si="5">K31*C31</f>
        <v>4912600.0000000009</v>
      </c>
    </row>
    <row r="32" spans="1:14" s="1043" customFormat="1" ht="13.5">
      <c r="B32" s="1090" t="s">
        <v>913</v>
      </c>
      <c r="C32" s="1491">
        <v>600</v>
      </c>
      <c r="D32" s="1141" t="s">
        <v>264</v>
      </c>
      <c r="E32" s="1504">
        <v>50</v>
      </c>
      <c r="F32" s="1139">
        <f>E32*C32</f>
        <v>30000</v>
      </c>
      <c r="G32" s="1141" t="s">
        <v>264</v>
      </c>
      <c r="H32" s="1141">
        <v>50</v>
      </c>
      <c r="I32" s="1140">
        <f>H32*C32</f>
        <v>30000</v>
      </c>
      <c r="J32" s="1141" t="s">
        <v>264</v>
      </c>
      <c r="K32" s="1141">
        <v>0</v>
      </c>
      <c r="L32" s="1142">
        <f t="shared" si="5"/>
        <v>0</v>
      </c>
    </row>
    <row r="33" spans="2:14" s="1043" customFormat="1" ht="13.5">
      <c r="B33" s="1097" t="s">
        <v>914</v>
      </c>
      <c r="C33" s="1493">
        <v>1000</v>
      </c>
      <c r="D33" s="1150" t="s">
        <v>264</v>
      </c>
      <c r="E33" s="1505">
        <v>0</v>
      </c>
      <c r="F33" s="1147">
        <f>E33*C33</f>
        <v>0</v>
      </c>
      <c r="G33" s="1150" t="s">
        <v>264</v>
      </c>
      <c r="H33" s="1500">
        <v>0</v>
      </c>
      <c r="I33" s="1148">
        <f>H33*C33</f>
        <v>0</v>
      </c>
      <c r="J33" s="1150" t="s">
        <v>264</v>
      </c>
      <c r="K33" s="1500">
        <v>100</v>
      </c>
      <c r="L33" s="1149">
        <f t="shared" si="5"/>
        <v>100000</v>
      </c>
    </row>
    <row r="34" spans="2:14" s="1043" customFormat="1" ht="13.5">
      <c r="B34" s="1151" t="s">
        <v>1599</v>
      </c>
      <c r="C34" s="1491">
        <v>10000</v>
      </c>
      <c r="D34" s="1152"/>
      <c r="E34" s="1504">
        <v>40</v>
      </c>
      <c r="F34" s="1139">
        <f>E34*C34</f>
        <v>400000</v>
      </c>
      <c r="G34" s="1152"/>
      <c r="H34" s="1141">
        <f>SUM(E14,H14,K14)</f>
        <v>40</v>
      </c>
      <c r="I34" s="1140">
        <f>H34*C34</f>
        <v>400000</v>
      </c>
      <c r="J34" s="1153"/>
      <c r="K34" s="1141">
        <f>SUM(E14,H14,K14)</f>
        <v>40</v>
      </c>
      <c r="L34" s="1142">
        <f t="shared" si="5"/>
        <v>400000</v>
      </c>
    </row>
    <row r="35" spans="2:14" s="1043" customFormat="1" ht="13.5">
      <c r="B35" s="1154" t="s">
        <v>1600</v>
      </c>
      <c r="C35" s="1493">
        <v>75000</v>
      </c>
      <c r="D35" s="1150"/>
      <c r="E35" s="1505">
        <v>5</v>
      </c>
      <c r="F35" s="1147">
        <f>E35*C35</f>
        <v>375000</v>
      </c>
      <c r="G35" s="1150"/>
      <c r="H35" s="1500">
        <f>SUM(E13,H13,K13)</f>
        <v>13</v>
      </c>
      <c r="I35" s="1148">
        <f>H35*C35</f>
        <v>975000</v>
      </c>
      <c r="J35" s="1155"/>
      <c r="K35" s="1500">
        <f>SUM(E13,H13,K13)</f>
        <v>13</v>
      </c>
      <c r="L35" s="1149">
        <f t="shared" si="5"/>
        <v>975000</v>
      </c>
    </row>
    <row r="36" spans="2:14" s="1043" customFormat="1" ht="13.5">
      <c r="B36" s="1156" t="s">
        <v>1659</v>
      </c>
      <c r="C36" s="1484">
        <v>80</v>
      </c>
      <c r="D36" s="1157"/>
      <c r="E36" s="1158"/>
      <c r="F36" s="1485"/>
      <c r="G36" s="1157"/>
      <c r="H36" s="1501">
        <f>SUM(H19:H33)</f>
        <v>15707.7</v>
      </c>
      <c r="I36" s="1486">
        <f>C36*H36</f>
        <v>1256616</v>
      </c>
      <c r="J36" s="1160"/>
      <c r="K36" s="1501">
        <f>SUM(K19:K33)</f>
        <v>22284.35</v>
      </c>
      <c r="L36" s="1487">
        <f>C36*K36</f>
        <v>1782748</v>
      </c>
    </row>
    <row r="37" spans="2:14" s="1043" customFormat="1" ht="13.5">
      <c r="B37" s="1156" t="s">
        <v>1601</v>
      </c>
      <c r="C37" s="1494">
        <f>60*10</f>
        <v>600</v>
      </c>
      <c r="D37" s="1157"/>
      <c r="E37" s="1158">
        <f>C5+F5+I5*2.1</f>
        <v>7691.6</v>
      </c>
      <c r="F37" s="1159">
        <f>E37*C$37</f>
        <v>4614960</v>
      </c>
      <c r="G37" s="1157"/>
      <c r="H37" s="1158">
        <f>C5+F8+I5*2.1</f>
        <v>14139.6</v>
      </c>
      <c r="I37" s="1159">
        <f>H37*C37</f>
        <v>8483760</v>
      </c>
      <c r="J37" s="1160"/>
      <c r="K37" s="1158">
        <f>C5+F8+I5*2.1</f>
        <v>14139.6</v>
      </c>
      <c r="L37" s="1161">
        <f t="shared" si="5"/>
        <v>8483760</v>
      </c>
      <c r="N37" s="1043" t="s">
        <v>1602</v>
      </c>
    </row>
    <row r="38" spans="2:14" s="1043" customFormat="1" ht="14.25" thickBot="1">
      <c r="B38" s="1162" t="s">
        <v>203</v>
      </c>
      <c r="C38" s="1163"/>
      <c r="D38" s="1164"/>
      <c r="E38" s="1165"/>
      <c r="F38" s="1166">
        <f>SUM(F19:F37)</f>
        <v>9384310</v>
      </c>
      <c r="G38" s="1164"/>
      <c r="H38" s="1165"/>
      <c r="I38" s="1166">
        <f>SUM(I19:I37)</f>
        <v>29040506</v>
      </c>
      <c r="J38" s="1167"/>
      <c r="K38" s="1168"/>
      <c r="L38" s="1169">
        <f>SUM(L19:L37)</f>
        <v>42421515.5</v>
      </c>
    </row>
    <row r="40" spans="2:14">
      <c r="B40" s="1117"/>
    </row>
    <row r="47" spans="2:14">
      <c r="B47" s="1170"/>
      <c r="E47" s="1171"/>
      <c r="G47" s="1742"/>
    </row>
    <row r="48" spans="2:14">
      <c r="B48" s="1170"/>
      <c r="E48" s="1171"/>
    </row>
    <row r="49" spans="2:5">
      <c r="B49" s="1170"/>
      <c r="E49" s="1171"/>
    </row>
    <row r="50" spans="2:5">
      <c r="B50" s="1170"/>
    </row>
    <row r="54" spans="2:5">
      <c r="B54" s="1170"/>
    </row>
  </sheetData>
  <mergeCells count="7">
    <mergeCell ref="J17:L17"/>
    <mergeCell ref="C5:C10"/>
    <mergeCell ref="F5:F7"/>
    <mergeCell ref="I5:I10"/>
    <mergeCell ref="F8:F10"/>
    <mergeCell ref="D17:F17"/>
    <mergeCell ref="G17:I17"/>
  </mergeCells>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AS113"/>
  <sheetViews>
    <sheetView topLeftCell="A12" zoomScale="85" zoomScaleNormal="85" workbookViewId="0">
      <pane xSplit="6" topLeftCell="G1" activePane="topRight" state="frozen"/>
      <selection activeCell="H10" sqref="H10"/>
      <selection pane="topRight" activeCell="U37" sqref="U37"/>
    </sheetView>
  </sheetViews>
  <sheetFormatPr defaultColWidth="8.85546875" defaultRowHeight="15"/>
  <cols>
    <col min="1" max="1" width="1.5703125" customWidth="1"/>
    <col min="2" max="2" width="21.42578125" customWidth="1"/>
    <col min="3" max="3" width="35.42578125" customWidth="1"/>
    <col min="4" max="4" width="17.85546875" customWidth="1"/>
    <col min="5" max="5" width="16.140625" customWidth="1"/>
    <col min="6" max="6" width="37.42578125" customWidth="1"/>
    <col min="7" max="7" width="1.5703125" customWidth="1"/>
    <col min="8" max="19" width="10.5703125" customWidth="1"/>
    <col min="20" max="20" width="1.5703125" customWidth="1"/>
    <col min="21" max="21" width="12" customWidth="1"/>
    <col min="22" max="22" width="12.5703125" customWidth="1"/>
  </cols>
  <sheetData>
    <row r="1" spans="1:45">
      <c r="A1" s="954"/>
      <c r="B1" s="954"/>
      <c r="C1" s="954"/>
      <c r="D1" s="954"/>
      <c r="E1" s="954"/>
      <c r="F1" s="954"/>
      <c r="G1" s="954"/>
      <c r="H1" s="954"/>
      <c r="I1" s="954"/>
      <c r="J1" s="954"/>
      <c r="K1" s="954"/>
      <c r="L1" s="954"/>
      <c r="M1" s="954"/>
      <c r="N1" s="954"/>
      <c r="O1" s="954"/>
      <c r="P1" s="954"/>
      <c r="Q1" s="954"/>
      <c r="R1" s="954"/>
      <c r="S1" s="954"/>
      <c r="T1" s="954"/>
      <c r="U1" s="954"/>
      <c r="V1" s="954"/>
      <c r="W1" s="954"/>
      <c r="X1" s="954"/>
      <c r="Y1" s="954"/>
      <c r="Z1" s="954"/>
      <c r="AA1" s="954"/>
      <c r="AB1" s="954"/>
      <c r="AC1" s="954"/>
      <c r="AD1" s="954"/>
      <c r="AE1" s="954"/>
      <c r="AF1" s="954"/>
      <c r="AG1" s="954"/>
      <c r="AH1" s="954"/>
      <c r="AI1" s="954"/>
      <c r="AJ1" s="954"/>
      <c r="AK1" s="954"/>
      <c r="AL1" s="954"/>
      <c r="AM1" s="954"/>
      <c r="AN1" s="954"/>
      <c r="AO1" s="954"/>
      <c r="AP1" s="954"/>
      <c r="AQ1" s="954"/>
      <c r="AR1" s="954"/>
      <c r="AS1" s="954"/>
    </row>
    <row r="2" spans="1:45">
      <c r="A2" s="954"/>
      <c r="B2" s="955" t="s">
        <v>1432</v>
      </c>
      <c r="C2" s="956" t="s">
        <v>1433</v>
      </c>
      <c r="D2" s="954"/>
      <c r="E2" s="954"/>
      <c r="F2" s="954"/>
      <c r="G2" s="954"/>
      <c r="H2" s="954"/>
      <c r="I2" s="954"/>
      <c r="J2" s="954"/>
      <c r="K2" s="954"/>
      <c r="L2" s="954"/>
      <c r="M2" s="954"/>
      <c r="N2" s="954"/>
      <c r="O2" s="954"/>
      <c r="P2" s="954"/>
      <c r="Q2" s="954"/>
      <c r="R2" s="954"/>
      <c r="S2" s="954"/>
      <c r="T2" s="954"/>
      <c r="U2" s="954"/>
      <c r="V2" s="954"/>
      <c r="W2" s="954"/>
      <c r="X2" s="954"/>
      <c r="Y2" s="954"/>
      <c r="Z2" s="954"/>
      <c r="AA2" s="954"/>
      <c r="AB2" s="954"/>
      <c r="AC2" s="954"/>
      <c r="AD2" s="954"/>
      <c r="AE2" s="954"/>
      <c r="AF2" s="954"/>
      <c r="AG2" s="954"/>
      <c r="AH2" s="954"/>
      <c r="AI2" s="954"/>
      <c r="AJ2" s="954"/>
      <c r="AK2" s="954"/>
      <c r="AL2" s="954"/>
      <c r="AM2" s="954"/>
      <c r="AN2" s="954"/>
      <c r="AO2" s="954"/>
      <c r="AP2" s="954"/>
      <c r="AQ2" s="954"/>
      <c r="AR2" s="954"/>
      <c r="AS2" s="954"/>
    </row>
    <row r="3" spans="1:45">
      <c r="A3" s="954"/>
      <c r="B3" s="955" t="s">
        <v>1434</v>
      </c>
      <c r="C3" s="956" t="s">
        <v>1435</v>
      </c>
      <c r="D3" s="954"/>
      <c r="E3" s="954"/>
      <c r="F3" s="954"/>
      <c r="G3" s="954"/>
      <c r="H3" s="954"/>
      <c r="I3" s="954"/>
      <c r="J3" s="954"/>
      <c r="K3" s="954"/>
      <c r="L3" s="954"/>
      <c r="M3" s="954"/>
      <c r="N3" s="954"/>
      <c r="O3" s="954"/>
      <c r="P3" s="954"/>
      <c r="Q3" s="954"/>
      <c r="R3" s="954"/>
      <c r="S3" s="954"/>
      <c r="T3" s="954"/>
      <c r="U3" s="954"/>
      <c r="V3" s="954"/>
      <c r="W3" s="954"/>
      <c r="X3" s="954"/>
      <c r="Y3" s="954"/>
      <c r="Z3" s="954"/>
      <c r="AA3" s="954"/>
      <c r="AB3" s="954"/>
      <c r="AC3" s="954"/>
      <c r="AD3" s="954"/>
      <c r="AE3" s="954"/>
      <c r="AF3" s="954"/>
      <c r="AG3" s="954"/>
      <c r="AH3" s="954"/>
      <c r="AI3" s="954"/>
      <c r="AJ3" s="954"/>
      <c r="AK3" s="954"/>
      <c r="AL3" s="954"/>
      <c r="AM3" s="954"/>
      <c r="AN3" s="954"/>
      <c r="AO3" s="954"/>
      <c r="AP3" s="954"/>
      <c r="AQ3" s="954"/>
      <c r="AR3" s="954"/>
      <c r="AS3" s="954"/>
    </row>
    <row r="4" spans="1:45">
      <c r="A4" s="954"/>
      <c r="B4" s="955" t="s">
        <v>1436</v>
      </c>
      <c r="C4" s="956" t="s">
        <v>1437</v>
      </c>
      <c r="D4" s="954"/>
      <c r="E4" s="954"/>
      <c r="F4" s="954"/>
      <c r="G4" s="954"/>
      <c r="H4" s="954"/>
      <c r="I4" s="954"/>
      <c r="J4" s="954"/>
      <c r="K4" s="954"/>
      <c r="L4" s="954"/>
      <c r="M4" s="954"/>
      <c r="N4" s="954"/>
      <c r="O4" s="954"/>
      <c r="P4" s="954"/>
      <c r="Q4" s="954"/>
      <c r="R4" s="954"/>
      <c r="S4" s="954"/>
      <c r="T4" s="954"/>
      <c r="U4" s="954"/>
      <c r="V4" s="954"/>
      <c r="W4" s="954"/>
      <c r="X4" s="954"/>
      <c r="Y4" s="954"/>
      <c r="Z4" s="954"/>
      <c r="AA4" s="954"/>
      <c r="AB4" s="954"/>
      <c r="AC4" s="954"/>
      <c r="AD4" s="954"/>
      <c r="AE4" s="954"/>
      <c r="AF4" s="954"/>
      <c r="AG4" s="954"/>
      <c r="AH4" s="954"/>
      <c r="AI4" s="954"/>
      <c r="AJ4" s="954"/>
      <c r="AK4" s="954"/>
      <c r="AL4" s="954"/>
      <c r="AM4" s="954"/>
      <c r="AN4" s="954"/>
      <c r="AO4" s="954"/>
      <c r="AP4" s="954"/>
      <c r="AQ4" s="954"/>
      <c r="AR4" s="954"/>
      <c r="AS4" s="954"/>
    </row>
    <row r="5" spans="1:45">
      <c r="A5" s="954"/>
      <c r="B5" s="955" t="s">
        <v>1438</v>
      </c>
      <c r="C5" s="956">
        <v>1</v>
      </c>
      <c r="D5" s="954"/>
      <c r="E5" s="954"/>
      <c r="F5" s="954"/>
      <c r="G5" s="954"/>
      <c r="H5" s="954"/>
      <c r="I5" s="954"/>
      <c r="J5" s="954"/>
      <c r="K5" s="954"/>
      <c r="L5" s="954"/>
      <c r="M5" s="954"/>
      <c r="N5" s="954"/>
      <c r="O5" s="954"/>
      <c r="P5" s="954"/>
      <c r="Q5" s="954"/>
      <c r="R5" s="954"/>
      <c r="S5" s="954"/>
      <c r="T5" s="954"/>
      <c r="U5" s="954"/>
      <c r="V5" s="954"/>
      <c r="W5" s="954"/>
      <c r="X5" s="954"/>
      <c r="Y5" s="954"/>
      <c r="Z5" s="954"/>
      <c r="AA5" s="954"/>
      <c r="AB5" s="954"/>
      <c r="AC5" s="954"/>
      <c r="AD5" s="954"/>
      <c r="AE5" s="954"/>
      <c r="AF5" s="954"/>
      <c r="AG5" s="954"/>
      <c r="AH5" s="954"/>
      <c r="AI5" s="954"/>
      <c r="AJ5" s="954"/>
      <c r="AK5" s="954"/>
      <c r="AL5" s="954"/>
      <c r="AM5" s="954"/>
      <c r="AN5" s="954"/>
      <c r="AO5" s="954"/>
      <c r="AP5" s="954"/>
      <c r="AQ5" s="954"/>
      <c r="AR5" s="954"/>
      <c r="AS5" s="954"/>
    </row>
    <row r="6" spans="1:45">
      <c r="A6" s="954"/>
      <c r="B6" s="955" t="s">
        <v>1439</v>
      </c>
      <c r="C6" s="957" t="s">
        <v>1440</v>
      </c>
      <c r="D6" s="954"/>
      <c r="E6" s="954"/>
      <c r="F6" s="954"/>
      <c r="G6" s="954"/>
      <c r="H6" s="954"/>
      <c r="I6" s="954"/>
      <c r="J6" s="954"/>
      <c r="K6" s="954"/>
      <c r="L6" s="954"/>
      <c r="M6" s="954"/>
      <c r="N6" s="954"/>
      <c r="O6" s="954"/>
      <c r="P6" s="954"/>
      <c r="Q6" s="954"/>
      <c r="R6" s="954"/>
      <c r="S6" s="954"/>
      <c r="T6" s="954"/>
      <c r="U6" s="954"/>
      <c r="V6" s="954"/>
      <c r="W6" s="954"/>
      <c r="X6" s="954"/>
      <c r="Y6" s="954"/>
      <c r="Z6" s="954"/>
      <c r="AA6" s="954"/>
      <c r="AB6" s="954"/>
      <c r="AC6" s="954"/>
      <c r="AD6" s="954"/>
      <c r="AE6" s="954"/>
      <c r="AF6" s="954"/>
      <c r="AG6" s="954"/>
      <c r="AH6" s="954"/>
      <c r="AI6" s="954"/>
      <c r="AJ6" s="954"/>
      <c r="AK6" s="954"/>
      <c r="AL6" s="954"/>
      <c r="AM6" s="954"/>
      <c r="AN6" s="954"/>
      <c r="AO6" s="954"/>
      <c r="AP6" s="954"/>
      <c r="AQ6" s="954"/>
      <c r="AR6" s="954"/>
      <c r="AS6" s="954"/>
    </row>
    <row r="7" spans="1:45">
      <c r="A7" s="954"/>
      <c r="B7" s="955" t="s">
        <v>1441</v>
      </c>
      <c r="C7" s="957" t="s">
        <v>1442</v>
      </c>
      <c r="D7" s="954"/>
      <c r="E7" s="954"/>
      <c r="F7" s="954"/>
      <c r="G7" s="954"/>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4"/>
      <c r="AG7" s="954"/>
      <c r="AH7" s="954"/>
      <c r="AI7" s="954"/>
      <c r="AJ7" s="954"/>
      <c r="AK7" s="954"/>
      <c r="AL7" s="954"/>
      <c r="AM7" s="954"/>
      <c r="AN7" s="954"/>
      <c r="AO7" s="954"/>
      <c r="AP7" s="954"/>
      <c r="AQ7" s="954"/>
      <c r="AR7" s="954"/>
      <c r="AS7" s="954"/>
    </row>
    <row r="8" spans="1:45">
      <c r="A8" s="954"/>
      <c r="B8" s="955" t="s">
        <v>1443</v>
      </c>
      <c r="C8" s="958">
        <f>U37</f>
        <v>2694500</v>
      </c>
      <c r="D8" s="954"/>
      <c r="E8" s="954"/>
      <c r="F8" s="954"/>
      <c r="G8" s="954"/>
      <c r="H8" s="954"/>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54"/>
      <c r="AL8" s="954"/>
      <c r="AM8" s="954"/>
      <c r="AN8" s="954"/>
      <c r="AO8" s="954"/>
      <c r="AP8" s="954"/>
      <c r="AQ8" s="954"/>
      <c r="AR8" s="954"/>
      <c r="AS8" s="954"/>
    </row>
    <row r="9" spans="1:45">
      <c r="A9" s="954"/>
      <c r="B9" s="955" t="s">
        <v>1444</v>
      </c>
      <c r="C9" s="958">
        <f>V37</f>
        <v>3233400</v>
      </c>
      <c r="D9" s="954"/>
      <c r="E9" s="954"/>
      <c r="F9" s="954"/>
      <c r="G9" s="954"/>
      <c r="H9" s="954"/>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954"/>
      <c r="AM9" s="954"/>
      <c r="AN9" s="954"/>
      <c r="AO9" s="954"/>
      <c r="AP9" s="954"/>
      <c r="AQ9" s="954"/>
      <c r="AR9" s="954"/>
      <c r="AS9" s="954"/>
    </row>
    <row r="10" spans="1:45">
      <c r="A10" s="954"/>
      <c r="B10" s="955" t="s">
        <v>1445</v>
      </c>
      <c r="C10" s="956" t="s">
        <v>1446</v>
      </c>
      <c r="D10" s="954"/>
      <c r="E10" s="954"/>
      <c r="F10" s="954"/>
      <c r="G10" s="954"/>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4"/>
      <c r="AL10" s="954"/>
      <c r="AM10" s="954"/>
      <c r="AN10" s="954"/>
      <c r="AO10" s="954"/>
      <c r="AP10" s="954"/>
      <c r="AQ10" s="954"/>
      <c r="AR10" s="954"/>
      <c r="AS10" s="954"/>
    </row>
    <row r="11" spans="1:45">
      <c r="A11" s="954"/>
      <c r="B11" s="954"/>
      <c r="C11" s="954"/>
      <c r="D11" s="954"/>
      <c r="E11" s="954"/>
      <c r="F11" s="954"/>
      <c r="G11" s="954"/>
      <c r="H11" s="954"/>
      <c r="I11" s="954"/>
      <c r="J11" s="954"/>
      <c r="K11" s="954"/>
      <c r="L11" s="954"/>
      <c r="M11" s="954"/>
      <c r="N11" s="954"/>
      <c r="O11" s="954"/>
      <c r="P11" s="954"/>
      <c r="Q11" s="954"/>
      <c r="R11" s="954"/>
      <c r="S11" s="954"/>
      <c r="T11" s="954"/>
      <c r="U11" s="954"/>
      <c r="V11" s="954"/>
      <c r="W11" s="954"/>
      <c r="X11" s="954"/>
      <c r="Y11" s="954"/>
      <c r="Z11" s="954"/>
      <c r="AA11" s="954"/>
      <c r="AB11" s="954"/>
      <c r="AC11" s="954"/>
      <c r="AD11" s="954"/>
      <c r="AE11" s="954"/>
      <c r="AF11" s="954"/>
      <c r="AG11" s="954"/>
      <c r="AH11" s="954"/>
      <c r="AI11" s="954"/>
      <c r="AJ11" s="954"/>
      <c r="AK11" s="954"/>
      <c r="AL11" s="954"/>
      <c r="AM11" s="954"/>
      <c r="AN11" s="954"/>
      <c r="AO11" s="954"/>
      <c r="AP11" s="954"/>
      <c r="AQ11" s="954"/>
      <c r="AR11" s="954"/>
      <c r="AS11" s="954"/>
    </row>
    <row r="12" spans="1:45" ht="39.950000000000003" customHeight="1">
      <c r="A12" s="954"/>
      <c r="B12" s="959" t="s">
        <v>1447</v>
      </c>
      <c r="C12" s="959" t="s">
        <v>1448</v>
      </c>
      <c r="D12" s="959" t="s">
        <v>1449</v>
      </c>
      <c r="E12" s="959" t="s">
        <v>1450</v>
      </c>
      <c r="F12" s="959" t="s">
        <v>1451</v>
      </c>
      <c r="G12" s="954"/>
      <c r="H12" s="960" t="s">
        <v>1452</v>
      </c>
      <c r="I12" s="960" t="s">
        <v>1453</v>
      </c>
      <c r="J12" s="960" t="s">
        <v>1454</v>
      </c>
      <c r="K12" s="960" t="s">
        <v>1455</v>
      </c>
      <c r="L12" s="960" t="s">
        <v>1456</v>
      </c>
      <c r="M12" s="960" t="s">
        <v>1457</v>
      </c>
      <c r="N12" s="960" t="s">
        <v>1458</v>
      </c>
      <c r="O12" s="960" t="s">
        <v>1459</v>
      </c>
      <c r="P12" s="960" t="s">
        <v>1460</v>
      </c>
      <c r="Q12" s="960" t="s">
        <v>1461</v>
      </c>
      <c r="R12" s="960" t="s">
        <v>1462</v>
      </c>
      <c r="S12" s="960" t="s">
        <v>1463</v>
      </c>
      <c r="T12" s="954"/>
      <c r="U12" s="961" t="s">
        <v>1443</v>
      </c>
      <c r="V12" s="961" t="s">
        <v>1464</v>
      </c>
      <c r="W12" s="954"/>
      <c r="X12" s="954"/>
      <c r="Y12" s="954"/>
      <c r="Z12" s="954"/>
      <c r="AA12" s="954"/>
      <c r="AB12" s="954"/>
      <c r="AC12" s="954"/>
      <c r="AD12" s="954"/>
      <c r="AE12" s="954"/>
      <c r="AF12" s="954"/>
      <c r="AG12" s="954"/>
      <c r="AH12" s="954"/>
      <c r="AI12" s="954"/>
      <c r="AJ12" s="954"/>
      <c r="AK12" s="954"/>
      <c r="AL12" s="954"/>
      <c r="AM12" s="954"/>
      <c r="AN12" s="954"/>
      <c r="AO12" s="954"/>
      <c r="AP12" s="954"/>
      <c r="AQ12" s="954"/>
      <c r="AR12" s="954"/>
      <c r="AS12" s="954"/>
    </row>
    <row r="13" spans="1:45" ht="15" customHeight="1">
      <c r="A13" s="954"/>
      <c r="B13" s="1895" t="s">
        <v>1465</v>
      </c>
      <c r="C13" s="1895"/>
      <c r="D13" s="1895"/>
      <c r="E13" s="1895"/>
      <c r="F13" s="1895"/>
      <c r="G13" s="954"/>
      <c r="H13" s="982"/>
      <c r="I13" s="983"/>
      <c r="J13" s="983"/>
      <c r="K13" s="983"/>
      <c r="L13" s="983"/>
      <c r="M13" s="983"/>
      <c r="N13" s="983"/>
      <c r="O13" s="983"/>
      <c r="P13" s="983"/>
      <c r="Q13" s="983"/>
      <c r="R13" s="983"/>
      <c r="S13" s="984"/>
      <c r="T13" s="954"/>
      <c r="U13" s="1896"/>
      <c r="V13" s="1896"/>
      <c r="W13" s="954"/>
      <c r="X13" s="954"/>
      <c r="Y13" s="954"/>
      <c r="Z13" s="954"/>
      <c r="AA13" s="954"/>
      <c r="AB13" s="954"/>
      <c r="AC13" s="954"/>
      <c r="AD13" s="954"/>
      <c r="AE13" s="954"/>
      <c r="AF13" s="954"/>
      <c r="AG13" s="954"/>
      <c r="AH13" s="954"/>
      <c r="AI13" s="954"/>
      <c r="AJ13" s="954"/>
      <c r="AK13" s="954"/>
      <c r="AL13" s="954"/>
      <c r="AM13" s="954"/>
      <c r="AN13" s="954"/>
      <c r="AO13" s="954"/>
      <c r="AP13" s="954"/>
      <c r="AQ13" s="954"/>
      <c r="AR13" s="954"/>
      <c r="AS13" s="954"/>
    </row>
    <row r="14" spans="1:45" ht="39.950000000000003" customHeight="1">
      <c r="A14" s="954"/>
      <c r="B14" s="959" t="s">
        <v>1466</v>
      </c>
      <c r="C14" s="959" t="s">
        <v>1467</v>
      </c>
      <c r="D14" s="959" t="s">
        <v>1437</v>
      </c>
      <c r="E14" s="959" t="s">
        <v>1468</v>
      </c>
      <c r="F14" s="962" t="s">
        <v>1469</v>
      </c>
      <c r="G14" s="954"/>
      <c r="H14" s="963"/>
      <c r="I14" s="964">
        <v>250000</v>
      </c>
      <c r="J14" s="965"/>
      <c r="K14" s="965"/>
      <c r="L14" s="965"/>
      <c r="M14" s="964">
        <v>250000</v>
      </c>
      <c r="N14" s="965"/>
      <c r="O14" s="963"/>
      <c r="P14" s="963"/>
      <c r="Q14" s="964">
        <v>250000</v>
      </c>
      <c r="R14" s="963"/>
      <c r="S14" s="965"/>
      <c r="T14" s="954"/>
      <c r="U14" s="966">
        <f>SUM(H14:S14)</f>
        <v>750000</v>
      </c>
      <c r="V14" s="966">
        <f>U14*1.2</f>
        <v>900000</v>
      </c>
      <c r="W14" s="954"/>
      <c r="X14" s="954"/>
      <c r="Y14" s="954"/>
      <c r="Z14" s="954"/>
      <c r="AA14" s="954"/>
      <c r="AB14" s="954"/>
      <c r="AC14" s="954"/>
      <c r="AD14" s="954"/>
      <c r="AE14" s="954"/>
      <c r="AF14" s="954"/>
      <c r="AG14" s="954"/>
      <c r="AH14" s="954"/>
      <c r="AI14" s="954"/>
      <c r="AJ14" s="954"/>
      <c r="AK14" s="954"/>
      <c r="AL14" s="954"/>
      <c r="AM14" s="954"/>
      <c r="AN14" s="954"/>
      <c r="AO14" s="954"/>
      <c r="AP14" s="954"/>
      <c r="AQ14" s="954"/>
      <c r="AR14" s="954"/>
      <c r="AS14" s="954"/>
    </row>
    <row r="15" spans="1:45" s="968" customFormat="1" ht="39.950000000000003" customHeight="1">
      <c r="A15" s="967"/>
      <c r="B15" s="959" t="s">
        <v>1470</v>
      </c>
      <c r="C15" s="959" t="s">
        <v>1471</v>
      </c>
      <c r="D15" s="959" t="s">
        <v>1437</v>
      </c>
      <c r="E15" s="959" t="s">
        <v>1472</v>
      </c>
      <c r="F15" s="962" t="s">
        <v>1473</v>
      </c>
      <c r="G15" s="954"/>
      <c r="H15" s="963"/>
      <c r="I15" s="964">
        <v>40000</v>
      </c>
      <c r="J15" s="965"/>
      <c r="K15" s="965"/>
      <c r="L15" s="965"/>
      <c r="M15" s="964">
        <v>40000</v>
      </c>
      <c r="N15" s="965"/>
      <c r="O15" s="963"/>
      <c r="P15" s="963"/>
      <c r="Q15" s="964">
        <v>40000</v>
      </c>
      <c r="R15" s="963"/>
      <c r="S15" s="965"/>
      <c r="T15" s="954"/>
      <c r="U15" s="966">
        <f t="shared" ref="U15:U17" si="0">SUM(H15:S15)</f>
        <v>120000</v>
      </c>
      <c r="V15" s="966">
        <f t="shared" ref="V15:V19" si="1">U15*1.2</f>
        <v>144000</v>
      </c>
      <c r="W15" s="967"/>
      <c r="X15" s="967"/>
      <c r="Y15" s="967"/>
      <c r="Z15" s="967"/>
      <c r="AA15" s="967"/>
      <c r="AB15" s="967"/>
      <c r="AC15" s="967"/>
      <c r="AD15" s="967"/>
      <c r="AE15" s="967"/>
      <c r="AF15" s="967"/>
      <c r="AG15" s="967"/>
      <c r="AH15" s="967"/>
      <c r="AI15" s="967"/>
      <c r="AJ15" s="967"/>
      <c r="AK15" s="967"/>
      <c r="AL15" s="967"/>
      <c r="AM15" s="967"/>
      <c r="AN15" s="967"/>
      <c r="AO15" s="967"/>
      <c r="AP15" s="967"/>
      <c r="AQ15" s="967"/>
      <c r="AR15" s="967"/>
      <c r="AS15" s="967"/>
    </row>
    <row r="16" spans="1:45" s="968" customFormat="1" ht="39.950000000000003" customHeight="1">
      <c r="A16" s="967"/>
      <c r="B16" s="1888" t="s">
        <v>1474</v>
      </c>
      <c r="C16" s="959" t="s">
        <v>1475</v>
      </c>
      <c r="D16" s="959" t="s">
        <v>1437</v>
      </c>
      <c r="E16" s="959" t="s">
        <v>1476</v>
      </c>
      <c r="F16" s="962" t="s">
        <v>1477</v>
      </c>
      <c r="G16" s="954"/>
      <c r="H16" s="963"/>
      <c r="I16" s="964">
        <v>50000</v>
      </c>
      <c r="J16" s="964">
        <v>50000</v>
      </c>
      <c r="K16" s="965"/>
      <c r="L16" s="965"/>
      <c r="M16" s="964">
        <v>50000</v>
      </c>
      <c r="N16" s="964">
        <v>50000</v>
      </c>
      <c r="O16" s="964">
        <v>50000</v>
      </c>
      <c r="P16" s="963"/>
      <c r="Q16" s="964">
        <v>50000</v>
      </c>
      <c r="R16" s="965"/>
      <c r="S16" s="965"/>
      <c r="T16" s="954"/>
      <c r="U16" s="966">
        <f t="shared" si="0"/>
        <v>300000</v>
      </c>
      <c r="V16" s="966">
        <f t="shared" si="1"/>
        <v>360000</v>
      </c>
      <c r="W16" s="967"/>
      <c r="X16" s="967"/>
      <c r="Y16" s="967"/>
      <c r="Z16" s="967"/>
      <c r="AA16" s="967"/>
      <c r="AB16" s="967"/>
      <c r="AC16" s="967"/>
      <c r="AD16" s="967"/>
      <c r="AE16" s="967"/>
      <c r="AF16" s="967"/>
      <c r="AG16" s="967"/>
      <c r="AH16" s="967"/>
      <c r="AI16" s="967"/>
      <c r="AJ16" s="967"/>
      <c r="AK16" s="967"/>
      <c r="AL16" s="967"/>
      <c r="AM16" s="967"/>
      <c r="AN16" s="967"/>
      <c r="AO16" s="967"/>
      <c r="AP16" s="967"/>
      <c r="AQ16" s="967"/>
      <c r="AR16" s="967"/>
      <c r="AS16" s="967"/>
    </row>
    <row r="17" spans="1:45" s="968" customFormat="1" ht="39.950000000000003" customHeight="1">
      <c r="A17" s="967"/>
      <c r="B17" s="1890"/>
      <c r="C17" s="959" t="s">
        <v>1478</v>
      </c>
      <c r="D17" s="959" t="s">
        <v>1437</v>
      </c>
      <c r="E17" s="959" t="s">
        <v>1476</v>
      </c>
      <c r="F17" s="962" t="s">
        <v>1477</v>
      </c>
      <c r="G17" s="954"/>
      <c r="H17" s="963"/>
      <c r="I17" s="964">
        <v>30000</v>
      </c>
      <c r="J17" s="964">
        <v>30000</v>
      </c>
      <c r="K17" s="965"/>
      <c r="L17" s="965"/>
      <c r="M17" s="964">
        <v>30000</v>
      </c>
      <c r="N17" s="964">
        <v>30000</v>
      </c>
      <c r="O17" s="964">
        <v>30000</v>
      </c>
      <c r="P17" s="963"/>
      <c r="Q17" s="964">
        <v>30000</v>
      </c>
      <c r="R17" s="965"/>
      <c r="S17" s="965"/>
      <c r="T17" s="954"/>
      <c r="U17" s="966">
        <f t="shared" si="0"/>
        <v>180000</v>
      </c>
      <c r="V17" s="966">
        <f t="shared" si="1"/>
        <v>216000</v>
      </c>
      <c r="W17" s="967"/>
      <c r="X17" s="967"/>
      <c r="Y17" s="967"/>
      <c r="Z17" s="967"/>
      <c r="AA17" s="967"/>
      <c r="AB17" s="967"/>
      <c r="AC17" s="967"/>
      <c r="AD17" s="967"/>
      <c r="AE17" s="967"/>
      <c r="AF17" s="967"/>
      <c r="AG17" s="967"/>
      <c r="AH17" s="967"/>
      <c r="AI17" s="967"/>
      <c r="AJ17" s="967"/>
      <c r="AK17" s="967"/>
      <c r="AL17" s="967"/>
      <c r="AM17" s="967"/>
      <c r="AN17" s="967"/>
      <c r="AO17" s="967"/>
      <c r="AP17" s="967"/>
      <c r="AQ17" s="967"/>
      <c r="AR17" s="967"/>
      <c r="AS17" s="967"/>
    </row>
    <row r="18" spans="1:45" s="968" customFormat="1" ht="39.950000000000003" customHeight="1">
      <c r="A18" s="967"/>
      <c r="B18" s="1889"/>
      <c r="C18" s="959" t="s">
        <v>1479</v>
      </c>
      <c r="D18" s="959" t="s">
        <v>1437</v>
      </c>
      <c r="E18" s="959" t="s">
        <v>1480</v>
      </c>
      <c r="F18" s="962" t="s">
        <v>1477</v>
      </c>
      <c r="G18" s="954"/>
      <c r="H18" s="1891">
        <v>100000</v>
      </c>
      <c r="I18" s="1892"/>
      <c r="J18" s="1892"/>
      <c r="K18" s="1892"/>
      <c r="L18" s="1892"/>
      <c r="M18" s="1892"/>
      <c r="N18" s="1892"/>
      <c r="O18" s="1892"/>
      <c r="P18" s="1892"/>
      <c r="Q18" s="1892"/>
      <c r="R18" s="1892"/>
      <c r="S18" s="1893"/>
      <c r="T18" s="954"/>
      <c r="U18" s="966">
        <f>SUM(H18:S18)</f>
        <v>100000</v>
      </c>
      <c r="V18" s="970">
        <f t="shared" si="1"/>
        <v>120000</v>
      </c>
      <c r="W18" s="967"/>
      <c r="X18" s="967"/>
      <c r="Y18" s="967"/>
      <c r="Z18" s="967"/>
      <c r="AA18" s="967"/>
      <c r="AB18" s="967"/>
      <c r="AC18" s="967"/>
      <c r="AD18" s="967"/>
      <c r="AE18" s="967"/>
      <c r="AF18" s="967"/>
      <c r="AG18" s="967"/>
      <c r="AH18" s="967"/>
      <c r="AI18" s="967"/>
      <c r="AJ18" s="967"/>
      <c r="AK18" s="967"/>
      <c r="AL18" s="967"/>
      <c r="AM18" s="967"/>
      <c r="AN18" s="967"/>
      <c r="AO18" s="967"/>
      <c r="AP18" s="967"/>
      <c r="AQ18" s="967"/>
      <c r="AR18" s="967"/>
      <c r="AS18" s="967"/>
    </row>
    <row r="19" spans="1:45" s="968" customFormat="1" ht="39.950000000000003" customHeight="1">
      <c r="A19" s="967"/>
      <c r="B19" s="959" t="s">
        <v>1480</v>
      </c>
      <c r="C19" s="962" t="s">
        <v>1481</v>
      </c>
      <c r="D19" s="959" t="s">
        <v>1437</v>
      </c>
      <c r="E19" s="959" t="s">
        <v>1482</v>
      </c>
      <c r="F19" s="962" t="s">
        <v>1477</v>
      </c>
      <c r="G19" s="954"/>
      <c r="H19" s="963"/>
      <c r="I19" s="964">
        <v>35000</v>
      </c>
      <c r="J19" s="964">
        <v>20000</v>
      </c>
      <c r="K19" s="965"/>
      <c r="L19" s="965"/>
      <c r="M19" s="964">
        <v>35000</v>
      </c>
      <c r="N19" s="964">
        <v>35000</v>
      </c>
      <c r="O19" s="964">
        <v>35000</v>
      </c>
      <c r="P19" s="963"/>
      <c r="Q19" s="964">
        <v>35000</v>
      </c>
      <c r="R19" s="965"/>
      <c r="S19" s="965"/>
      <c r="T19" s="954"/>
      <c r="U19" s="966">
        <f>SUM(H19:S19)</f>
        <v>195000</v>
      </c>
      <c r="V19" s="966">
        <f t="shared" si="1"/>
        <v>234000</v>
      </c>
      <c r="W19" s="967"/>
      <c r="X19" s="967"/>
      <c r="Y19" s="967"/>
      <c r="Z19" s="967"/>
      <c r="AA19" s="967"/>
      <c r="AB19" s="967"/>
      <c r="AC19" s="967"/>
      <c r="AD19" s="967"/>
      <c r="AE19" s="967"/>
      <c r="AF19" s="967"/>
      <c r="AG19" s="967"/>
      <c r="AH19" s="967"/>
      <c r="AI19" s="967"/>
      <c r="AJ19" s="967"/>
      <c r="AK19" s="967"/>
      <c r="AL19" s="967"/>
      <c r="AM19" s="967"/>
      <c r="AN19" s="967"/>
      <c r="AO19" s="967"/>
      <c r="AP19" s="967"/>
      <c r="AQ19" s="967"/>
      <c r="AR19" s="967"/>
      <c r="AS19" s="967"/>
    </row>
    <row r="20" spans="1:45" s="968" customFormat="1" ht="15" customHeight="1">
      <c r="A20" s="967"/>
      <c r="B20" s="1895" t="s">
        <v>1483</v>
      </c>
      <c r="C20" s="1895"/>
      <c r="D20" s="1895"/>
      <c r="E20" s="1895"/>
      <c r="F20" s="1895"/>
      <c r="G20" s="954"/>
      <c r="H20" s="982"/>
      <c r="I20" s="983"/>
      <c r="J20" s="983"/>
      <c r="K20" s="983"/>
      <c r="L20" s="983"/>
      <c r="M20" s="983"/>
      <c r="N20" s="983"/>
      <c r="O20" s="983"/>
      <c r="P20" s="983"/>
      <c r="Q20" s="983"/>
      <c r="R20" s="983"/>
      <c r="S20" s="984"/>
      <c r="T20" s="954"/>
      <c r="U20" s="1896"/>
      <c r="V20" s="1896"/>
      <c r="W20" s="967"/>
      <c r="X20" s="967"/>
      <c r="Y20" s="967"/>
      <c r="Z20" s="967"/>
      <c r="AA20" s="967"/>
      <c r="AB20" s="967"/>
      <c r="AC20" s="967"/>
      <c r="AD20" s="967"/>
      <c r="AE20" s="967"/>
      <c r="AF20" s="967"/>
      <c r="AG20" s="967"/>
      <c r="AH20" s="967"/>
      <c r="AI20" s="967"/>
      <c r="AJ20" s="967"/>
      <c r="AK20" s="967"/>
      <c r="AL20" s="967"/>
      <c r="AM20" s="967"/>
      <c r="AN20" s="967"/>
      <c r="AO20" s="967"/>
      <c r="AP20" s="967"/>
      <c r="AQ20" s="967"/>
      <c r="AR20" s="967"/>
      <c r="AS20" s="967"/>
    </row>
    <row r="21" spans="1:45" s="968" customFormat="1" ht="39.950000000000003" customHeight="1">
      <c r="A21" s="967"/>
      <c r="B21" s="969" t="s">
        <v>1484</v>
      </c>
      <c r="C21" s="959" t="s">
        <v>1485</v>
      </c>
      <c r="D21" s="959" t="s">
        <v>1437</v>
      </c>
      <c r="E21" s="959" t="s">
        <v>1472</v>
      </c>
      <c r="F21" s="971" t="s">
        <v>1486</v>
      </c>
      <c r="G21" s="954"/>
      <c r="H21" s="963"/>
      <c r="I21" s="972">
        <v>15000</v>
      </c>
      <c r="J21" s="972">
        <v>10000</v>
      </c>
      <c r="K21" s="963"/>
      <c r="L21" s="963"/>
      <c r="M21" s="972">
        <v>10000</v>
      </c>
      <c r="N21" s="972">
        <v>10000</v>
      </c>
      <c r="O21" s="972">
        <v>10000</v>
      </c>
      <c r="P21" s="973"/>
      <c r="Q21" s="972">
        <v>10000</v>
      </c>
      <c r="R21" s="972">
        <v>10000</v>
      </c>
      <c r="S21" s="973"/>
      <c r="T21" s="954"/>
      <c r="U21" s="966">
        <f>SUM(H21:S21)</f>
        <v>75000</v>
      </c>
      <c r="V21" s="966">
        <f>U21*1.2</f>
        <v>90000</v>
      </c>
      <c r="W21" s="967"/>
      <c r="X21" s="1894"/>
      <c r="Y21" s="967"/>
      <c r="Z21" s="967"/>
      <c r="AA21" s="967"/>
      <c r="AB21" s="967"/>
      <c r="AC21" s="967"/>
      <c r="AD21" s="967"/>
      <c r="AE21" s="967"/>
      <c r="AF21" s="967"/>
      <c r="AG21" s="967"/>
      <c r="AH21" s="967"/>
      <c r="AI21" s="967"/>
      <c r="AJ21" s="967"/>
      <c r="AK21" s="967"/>
      <c r="AL21" s="967"/>
      <c r="AM21" s="967"/>
      <c r="AN21" s="967"/>
      <c r="AO21" s="967"/>
      <c r="AP21" s="967"/>
      <c r="AQ21" s="967"/>
      <c r="AR21" s="967"/>
      <c r="AS21" s="967"/>
    </row>
    <row r="22" spans="1:45" s="968" customFormat="1" ht="50.25" customHeight="1">
      <c r="A22" s="967"/>
      <c r="B22" s="1888" t="s">
        <v>1487</v>
      </c>
      <c r="C22" s="1888" t="s">
        <v>1488</v>
      </c>
      <c r="D22" s="959" t="s">
        <v>1437</v>
      </c>
      <c r="E22" s="959" t="s">
        <v>1482</v>
      </c>
      <c r="F22" s="962" t="s">
        <v>1489</v>
      </c>
      <c r="G22" s="954"/>
      <c r="H22" s="963"/>
      <c r="I22" s="972">
        <v>50000</v>
      </c>
      <c r="J22" s="963"/>
      <c r="K22" s="963"/>
      <c r="L22" s="973"/>
      <c r="M22" s="972">
        <v>50000</v>
      </c>
      <c r="N22" s="973"/>
      <c r="O22" s="973"/>
      <c r="P22" s="973"/>
      <c r="Q22" s="972">
        <v>50000</v>
      </c>
      <c r="R22" s="973"/>
      <c r="S22" s="973"/>
      <c r="T22" s="954"/>
      <c r="U22" s="966">
        <f t="shared" ref="U22:U26" si="2">SUM(H22:S22)</f>
        <v>150000</v>
      </c>
      <c r="V22" s="966">
        <f t="shared" ref="V22:V26" si="3">U22*1.2</f>
        <v>180000</v>
      </c>
      <c r="W22" s="967"/>
      <c r="X22" s="1894"/>
      <c r="Y22" s="967"/>
      <c r="Z22" s="967"/>
      <c r="AA22" s="967"/>
      <c r="AB22" s="967"/>
      <c r="AC22" s="967"/>
      <c r="AD22" s="967"/>
      <c r="AE22" s="967"/>
      <c r="AF22" s="967"/>
      <c r="AG22" s="967"/>
      <c r="AH22" s="967"/>
      <c r="AI22" s="967"/>
      <c r="AJ22" s="967"/>
      <c r="AK22" s="967"/>
      <c r="AL22" s="967"/>
      <c r="AM22" s="967"/>
      <c r="AN22" s="967"/>
      <c r="AO22" s="967"/>
      <c r="AP22" s="967"/>
      <c r="AQ22" s="967"/>
      <c r="AR22" s="967"/>
      <c r="AS22" s="967"/>
    </row>
    <row r="23" spans="1:45" s="968" customFormat="1" ht="39.950000000000003" customHeight="1">
      <c r="A23" s="967"/>
      <c r="B23" s="1889"/>
      <c r="C23" s="1889"/>
      <c r="D23" s="959" t="s">
        <v>1437</v>
      </c>
      <c r="E23" s="959" t="s">
        <v>1490</v>
      </c>
      <c r="F23" s="962" t="s">
        <v>1491</v>
      </c>
      <c r="G23" s="954"/>
      <c r="H23" s="963"/>
      <c r="I23" s="972">
        <v>50000</v>
      </c>
      <c r="J23" s="963"/>
      <c r="K23" s="963"/>
      <c r="L23" s="963"/>
      <c r="M23" s="972">
        <v>50000</v>
      </c>
      <c r="N23" s="973"/>
      <c r="O23" s="973"/>
      <c r="P23" s="973"/>
      <c r="Q23" s="972">
        <v>50000</v>
      </c>
      <c r="R23" s="973"/>
      <c r="S23" s="973"/>
      <c r="T23" s="954"/>
      <c r="U23" s="966">
        <f t="shared" si="2"/>
        <v>150000</v>
      </c>
      <c r="V23" s="966">
        <f t="shared" si="3"/>
        <v>180000</v>
      </c>
      <c r="W23" s="967"/>
      <c r="X23" s="1894"/>
      <c r="Y23" s="967"/>
      <c r="Z23" s="967"/>
      <c r="AA23" s="967"/>
      <c r="AB23" s="967"/>
      <c r="AC23" s="967"/>
      <c r="AD23" s="967"/>
      <c r="AE23" s="967"/>
      <c r="AF23" s="967"/>
      <c r="AG23" s="967"/>
      <c r="AH23" s="967"/>
      <c r="AI23" s="967"/>
      <c r="AJ23" s="967"/>
      <c r="AK23" s="967"/>
      <c r="AL23" s="967"/>
      <c r="AM23" s="967"/>
      <c r="AN23" s="967"/>
      <c r="AO23" s="967"/>
      <c r="AP23" s="967"/>
      <c r="AQ23" s="967"/>
      <c r="AR23" s="967"/>
      <c r="AS23" s="967"/>
    </row>
    <row r="24" spans="1:45" s="968" customFormat="1" ht="39.950000000000003" customHeight="1">
      <c r="A24" s="967"/>
      <c r="B24" s="1888" t="s">
        <v>1492</v>
      </c>
      <c r="C24" s="959" t="s">
        <v>1493</v>
      </c>
      <c r="D24" s="959" t="s">
        <v>1437</v>
      </c>
      <c r="E24" s="962" t="s">
        <v>1494</v>
      </c>
      <c r="F24" s="974" t="s">
        <v>1495</v>
      </c>
      <c r="G24" s="954"/>
      <c r="H24" s="972">
        <v>2000</v>
      </c>
      <c r="I24" s="972">
        <v>3500</v>
      </c>
      <c r="J24" s="972">
        <v>3500</v>
      </c>
      <c r="K24" s="972">
        <v>3500</v>
      </c>
      <c r="L24" s="972">
        <v>3500</v>
      </c>
      <c r="M24" s="972">
        <v>3500</v>
      </c>
      <c r="N24" s="972">
        <v>3500</v>
      </c>
      <c r="O24" s="972">
        <v>3500</v>
      </c>
      <c r="P24" s="972">
        <v>3500</v>
      </c>
      <c r="Q24" s="972">
        <v>3500</v>
      </c>
      <c r="R24" s="972">
        <v>3500</v>
      </c>
      <c r="S24" s="972">
        <v>3500</v>
      </c>
      <c r="T24" s="954"/>
      <c r="U24" s="966">
        <f t="shared" si="2"/>
        <v>40500</v>
      </c>
      <c r="V24" s="966">
        <f t="shared" si="3"/>
        <v>48600</v>
      </c>
      <c r="W24" s="967"/>
      <c r="X24" s="1894"/>
      <c r="Y24" s="967"/>
      <c r="Z24" s="967"/>
      <c r="AA24" s="967"/>
      <c r="AB24" s="967"/>
      <c r="AC24" s="967"/>
      <c r="AD24" s="967"/>
      <c r="AE24" s="967"/>
      <c r="AF24" s="967"/>
      <c r="AG24" s="967"/>
      <c r="AH24" s="967"/>
      <c r="AI24" s="967"/>
      <c r="AJ24" s="967"/>
      <c r="AK24" s="967"/>
      <c r="AL24" s="967"/>
      <c r="AM24" s="967"/>
      <c r="AN24" s="967"/>
      <c r="AO24" s="967"/>
      <c r="AP24" s="967"/>
      <c r="AQ24" s="967"/>
      <c r="AR24" s="967"/>
      <c r="AS24" s="967"/>
    </row>
    <row r="25" spans="1:45" s="968" customFormat="1" ht="39.950000000000003" customHeight="1">
      <c r="A25" s="967"/>
      <c r="B25" s="1889"/>
      <c r="C25" s="959" t="s">
        <v>1496</v>
      </c>
      <c r="D25" s="959" t="s">
        <v>1437</v>
      </c>
      <c r="E25" s="959" t="s">
        <v>1497</v>
      </c>
      <c r="F25" s="971" t="s">
        <v>1498</v>
      </c>
      <c r="G25" s="954"/>
      <c r="H25" s="972">
        <v>2500</v>
      </c>
      <c r="I25" s="972">
        <v>5000</v>
      </c>
      <c r="J25" s="972">
        <v>2500</v>
      </c>
      <c r="K25" s="972">
        <v>2500</v>
      </c>
      <c r="L25" s="972">
        <v>2500</v>
      </c>
      <c r="M25" s="972">
        <v>5000</v>
      </c>
      <c r="N25" s="972">
        <v>3500</v>
      </c>
      <c r="O25" s="972">
        <v>3500</v>
      </c>
      <c r="P25" s="972">
        <v>3500</v>
      </c>
      <c r="Q25" s="972">
        <v>5000</v>
      </c>
      <c r="R25" s="972">
        <v>2500</v>
      </c>
      <c r="S25" s="972">
        <v>2500</v>
      </c>
      <c r="T25" s="954"/>
      <c r="U25" s="966">
        <f t="shared" si="2"/>
        <v>40500</v>
      </c>
      <c r="V25" s="966">
        <f t="shared" si="3"/>
        <v>48600</v>
      </c>
      <c r="W25" s="967"/>
      <c r="X25" s="1894"/>
      <c r="Y25" s="967"/>
      <c r="Z25" s="967"/>
      <c r="AA25" s="967"/>
      <c r="AB25" s="967"/>
      <c r="AC25" s="967"/>
      <c r="AD25" s="967"/>
      <c r="AE25" s="967"/>
      <c r="AF25" s="967"/>
      <c r="AG25" s="967"/>
      <c r="AH25" s="967"/>
      <c r="AI25" s="967"/>
      <c r="AJ25" s="967"/>
      <c r="AK25" s="967"/>
      <c r="AL25" s="967"/>
      <c r="AM25" s="967"/>
      <c r="AN25" s="967"/>
      <c r="AO25" s="967"/>
      <c r="AP25" s="967"/>
      <c r="AQ25" s="967"/>
      <c r="AR25" s="967"/>
      <c r="AS25" s="967"/>
    </row>
    <row r="26" spans="1:45" s="968" customFormat="1" ht="39.950000000000003" customHeight="1">
      <c r="A26" s="967"/>
      <c r="B26" s="959" t="s">
        <v>1499</v>
      </c>
      <c r="C26" s="959" t="s">
        <v>1500</v>
      </c>
      <c r="D26" s="959" t="s">
        <v>1437</v>
      </c>
      <c r="E26" s="962" t="s">
        <v>1501</v>
      </c>
      <c r="F26" s="971" t="s">
        <v>1502</v>
      </c>
      <c r="G26" s="954"/>
      <c r="H26" s="972">
        <v>5000</v>
      </c>
      <c r="I26" s="972">
        <v>30000</v>
      </c>
      <c r="J26" s="972">
        <v>15000</v>
      </c>
      <c r="K26" s="972">
        <v>5000</v>
      </c>
      <c r="L26" s="972">
        <v>5000</v>
      </c>
      <c r="M26" s="972">
        <v>30000</v>
      </c>
      <c r="N26" s="972">
        <v>15000</v>
      </c>
      <c r="O26" s="972">
        <v>15000</v>
      </c>
      <c r="P26" s="972">
        <v>5000</v>
      </c>
      <c r="Q26" s="972">
        <v>30000</v>
      </c>
      <c r="R26" s="972">
        <v>15000</v>
      </c>
      <c r="S26" s="972">
        <v>5000</v>
      </c>
      <c r="T26" s="954"/>
      <c r="U26" s="966">
        <f t="shared" si="2"/>
        <v>175000</v>
      </c>
      <c r="V26" s="966">
        <f t="shared" si="3"/>
        <v>210000</v>
      </c>
      <c r="W26" s="967"/>
      <c r="X26" s="1894"/>
      <c r="Y26" s="967"/>
      <c r="Z26" s="967"/>
      <c r="AA26" s="967"/>
      <c r="AB26" s="967"/>
      <c r="AC26" s="967"/>
      <c r="AD26" s="967"/>
      <c r="AE26" s="967"/>
      <c r="AF26" s="967"/>
      <c r="AG26" s="967"/>
      <c r="AH26" s="967"/>
      <c r="AI26" s="967"/>
      <c r="AJ26" s="967"/>
      <c r="AK26" s="967"/>
      <c r="AL26" s="967"/>
      <c r="AM26" s="967"/>
      <c r="AN26" s="967"/>
      <c r="AO26" s="967"/>
      <c r="AP26" s="967"/>
      <c r="AQ26" s="967"/>
      <c r="AR26" s="967"/>
      <c r="AS26" s="967"/>
    </row>
    <row r="27" spans="1:45" s="968" customFormat="1" ht="15" customHeight="1">
      <c r="A27" s="967"/>
      <c r="B27" s="1895" t="s">
        <v>1503</v>
      </c>
      <c r="C27" s="1895"/>
      <c r="D27" s="1895"/>
      <c r="E27" s="1895"/>
      <c r="F27" s="1895"/>
      <c r="G27" s="954"/>
      <c r="H27" s="982"/>
      <c r="I27" s="983"/>
      <c r="J27" s="983"/>
      <c r="K27" s="983"/>
      <c r="L27" s="983"/>
      <c r="M27" s="983"/>
      <c r="N27" s="983"/>
      <c r="O27" s="983"/>
      <c r="P27" s="983"/>
      <c r="Q27" s="983"/>
      <c r="R27" s="983"/>
      <c r="S27" s="984"/>
      <c r="T27" s="954"/>
      <c r="U27" s="1896"/>
      <c r="V27" s="1896"/>
      <c r="W27" s="967"/>
      <c r="X27" s="967"/>
      <c r="Y27" s="967"/>
      <c r="Z27" s="967"/>
      <c r="AA27" s="967"/>
      <c r="AB27" s="967"/>
      <c r="AC27" s="967"/>
      <c r="AD27" s="967"/>
      <c r="AE27" s="967"/>
      <c r="AF27" s="967"/>
      <c r="AG27" s="967"/>
      <c r="AH27" s="967"/>
      <c r="AI27" s="967"/>
      <c r="AJ27" s="967"/>
      <c r="AK27" s="967"/>
      <c r="AL27" s="967"/>
      <c r="AM27" s="967"/>
      <c r="AN27" s="967"/>
      <c r="AO27" s="967"/>
      <c r="AP27" s="967"/>
      <c r="AQ27" s="967"/>
      <c r="AR27" s="967"/>
      <c r="AS27" s="967"/>
    </row>
    <row r="28" spans="1:45" s="968" customFormat="1" ht="50.25" customHeight="1">
      <c r="A28" s="967"/>
      <c r="B28" s="1883" t="s">
        <v>1504</v>
      </c>
      <c r="C28" s="975" t="s">
        <v>616</v>
      </c>
      <c r="D28" s="976" t="s">
        <v>1437</v>
      </c>
      <c r="E28" s="976" t="s">
        <v>1505</v>
      </c>
      <c r="F28" s="977" t="s">
        <v>1506</v>
      </c>
      <c r="G28" s="954"/>
      <c r="H28" s="978"/>
      <c r="I28" s="1885">
        <v>100000</v>
      </c>
      <c r="J28" s="1886"/>
      <c r="K28" s="1886"/>
      <c r="L28" s="1886"/>
      <c r="M28" s="1886"/>
      <c r="N28" s="1886"/>
      <c r="O28" s="1886"/>
      <c r="P28" s="1886"/>
      <c r="Q28" s="1886"/>
      <c r="R28" s="1886"/>
      <c r="S28" s="1887"/>
      <c r="T28" s="954"/>
      <c r="U28" s="970">
        <f>I28</f>
        <v>100000</v>
      </c>
      <c r="V28" s="970">
        <f>U28*1.2</f>
        <v>120000</v>
      </c>
      <c r="W28" s="967"/>
      <c r="X28" s="967"/>
      <c r="Y28" s="967"/>
      <c r="Z28" s="967"/>
      <c r="AA28" s="967"/>
      <c r="AB28" s="967"/>
      <c r="AC28" s="967"/>
      <c r="AD28" s="967"/>
      <c r="AE28" s="967"/>
      <c r="AF28" s="967"/>
      <c r="AG28" s="967"/>
      <c r="AH28" s="967"/>
      <c r="AI28" s="967"/>
      <c r="AJ28" s="967"/>
      <c r="AK28" s="967"/>
      <c r="AL28" s="967"/>
      <c r="AM28" s="967"/>
      <c r="AN28" s="967"/>
      <c r="AO28" s="967"/>
      <c r="AP28" s="967"/>
      <c r="AQ28" s="967"/>
      <c r="AR28" s="967"/>
      <c r="AS28" s="967"/>
    </row>
    <row r="29" spans="1:45" s="968" customFormat="1" ht="30" customHeight="1">
      <c r="A29" s="967"/>
      <c r="B29" s="1884"/>
      <c r="C29" s="976" t="s">
        <v>1507</v>
      </c>
      <c r="D29" s="976" t="s">
        <v>1437</v>
      </c>
      <c r="E29" s="976" t="s">
        <v>1505</v>
      </c>
      <c r="F29" s="976" t="s">
        <v>1508</v>
      </c>
      <c r="G29" s="954"/>
      <c r="H29" s="978"/>
      <c r="I29" s="978"/>
      <c r="J29" s="978"/>
      <c r="K29" s="978"/>
      <c r="L29" s="978"/>
      <c r="M29" s="1885">
        <v>30000</v>
      </c>
      <c r="N29" s="1886"/>
      <c r="O29" s="1886"/>
      <c r="P29" s="1887"/>
      <c r="Q29" s="978"/>
      <c r="R29" s="978"/>
      <c r="S29" s="306"/>
      <c r="T29" s="954"/>
      <c r="U29" s="970">
        <f>SUM(H29:S29)</f>
        <v>30000</v>
      </c>
      <c r="V29" s="970">
        <f t="shared" ref="V29:V35" si="4">U29*1.2</f>
        <v>36000</v>
      </c>
      <c r="W29" s="967"/>
      <c r="X29" s="967"/>
      <c r="Y29" s="967"/>
      <c r="Z29" s="967"/>
      <c r="AA29" s="967"/>
      <c r="AB29" s="967"/>
      <c r="AC29" s="967"/>
      <c r="AD29" s="967"/>
      <c r="AE29" s="967"/>
      <c r="AF29" s="967"/>
      <c r="AG29" s="967"/>
      <c r="AH29" s="967"/>
      <c r="AI29" s="967"/>
      <c r="AJ29" s="967"/>
      <c r="AK29" s="967"/>
      <c r="AL29" s="967"/>
      <c r="AM29" s="967"/>
      <c r="AN29" s="967"/>
      <c r="AO29" s="967"/>
      <c r="AP29" s="967"/>
      <c r="AQ29" s="967"/>
      <c r="AR29" s="967"/>
      <c r="AS29" s="967"/>
    </row>
    <row r="30" spans="1:45" s="968" customFormat="1" ht="39.950000000000003" customHeight="1">
      <c r="A30" s="967"/>
      <c r="B30" s="1888" t="s">
        <v>1509</v>
      </c>
      <c r="C30" s="959" t="s">
        <v>1510</v>
      </c>
      <c r="D30" s="959" t="s">
        <v>1437</v>
      </c>
      <c r="E30" s="959" t="s">
        <v>1472</v>
      </c>
      <c r="F30" s="959" t="s">
        <v>1511</v>
      </c>
      <c r="G30" s="954"/>
      <c r="H30" s="963"/>
      <c r="I30" s="964">
        <v>10000</v>
      </c>
      <c r="J30" s="970"/>
      <c r="K30" s="970"/>
      <c r="L30" s="973"/>
      <c r="M30" s="964">
        <v>10000</v>
      </c>
      <c r="N30" s="963"/>
      <c r="O30" s="963"/>
      <c r="P30" s="970"/>
      <c r="Q30" s="964">
        <v>5000</v>
      </c>
      <c r="R30" s="970"/>
      <c r="S30" s="965"/>
      <c r="T30" s="954"/>
      <c r="U30" s="970">
        <f t="shared" ref="U30:U35" si="5">SUM(H30:S30)</f>
        <v>25000</v>
      </c>
      <c r="V30" s="970">
        <f t="shared" si="4"/>
        <v>30000</v>
      </c>
      <c r="W30" s="967"/>
      <c r="X30" s="967"/>
      <c r="Y30" s="967"/>
      <c r="Z30" s="967"/>
      <c r="AA30" s="967"/>
      <c r="AB30" s="967"/>
      <c r="AC30" s="967"/>
      <c r="AD30" s="967"/>
      <c r="AE30" s="967"/>
      <c r="AF30" s="967"/>
      <c r="AG30" s="967"/>
      <c r="AH30" s="967"/>
      <c r="AI30" s="967"/>
      <c r="AJ30" s="967"/>
      <c r="AK30" s="967"/>
      <c r="AL30" s="967"/>
      <c r="AM30" s="967"/>
      <c r="AN30" s="967"/>
      <c r="AO30" s="967"/>
      <c r="AP30" s="967"/>
      <c r="AQ30" s="967"/>
      <c r="AR30" s="967"/>
      <c r="AS30" s="967"/>
    </row>
    <row r="31" spans="1:45" s="968" customFormat="1" ht="39.950000000000003" customHeight="1">
      <c r="A31" s="967"/>
      <c r="B31" s="1889"/>
      <c r="C31" s="959" t="s">
        <v>1510</v>
      </c>
      <c r="D31" s="959" t="s">
        <v>1437</v>
      </c>
      <c r="E31" s="959" t="s">
        <v>1512</v>
      </c>
      <c r="F31" s="959" t="s">
        <v>1513</v>
      </c>
      <c r="G31" s="954"/>
      <c r="H31" s="963"/>
      <c r="I31" s="964">
        <v>3000</v>
      </c>
      <c r="J31" s="970"/>
      <c r="K31" s="970"/>
      <c r="L31" s="973"/>
      <c r="M31" s="964">
        <v>5000</v>
      </c>
      <c r="N31" s="964">
        <v>5000</v>
      </c>
      <c r="O31" s="964">
        <v>5000</v>
      </c>
      <c r="P31" s="970"/>
      <c r="Q31" s="964">
        <v>5000</v>
      </c>
      <c r="R31" s="970"/>
      <c r="S31" s="965"/>
      <c r="T31" s="954"/>
      <c r="U31" s="970">
        <f t="shared" si="5"/>
        <v>23000</v>
      </c>
      <c r="V31" s="970">
        <f t="shared" si="4"/>
        <v>27600</v>
      </c>
      <c r="W31" s="967"/>
      <c r="X31" s="967"/>
      <c r="Y31" s="967"/>
      <c r="Z31" s="967"/>
      <c r="AA31" s="967"/>
      <c r="AB31" s="967"/>
      <c r="AC31" s="967"/>
      <c r="AD31" s="967"/>
      <c r="AE31" s="967"/>
      <c r="AF31" s="967"/>
      <c r="AG31" s="967"/>
      <c r="AH31" s="967"/>
      <c r="AI31" s="967"/>
      <c r="AJ31" s="967"/>
      <c r="AK31" s="967"/>
      <c r="AL31" s="967"/>
      <c r="AM31" s="967"/>
      <c r="AN31" s="967"/>
      <c r="AO31" s="967"/>
      <c r="AP31" s="967"/>
      <c r="AQ31" s="967"/>
      <c r="AR31" s="967"/>
      <c r="AS31" s="967"/>
    </row>
    <row r="32" spans="1:45" s="968" customFormat="1" ht="39.950000000000003" customHeight="1">
      <c r="A32" s="967"/>
      <c r="B32" s="1888" t="s">
        <v>1514</v>
      </c>
      <c r="C32" s="959" t="s">
        <v>1515</v>
      </c>
      <c r="D32" s="959" t="s">
        <v>1437</v>
      </c>
      <c r="E32" s="959" t="s">
        <v>1516</v>
      </c>
      <c r="F32" s="959" t="s">
        <v>1517</v>
      </c>
      <c r="G32" s="954"/>
      <c r="H32" s="963"/>
      <c r="I32" s="964">
        <v>10000</v>
      </c>
      <c r="J32" s="970"/>
      <c r="K32" s="964">
        <v>10000</v>
      </c>
      <c r="L32" s="970"/>
      <c r="M32" s="964">
        <v>10000</v>
      </c>
      <c r="N32" s="964">
        <v>10000</v>
      </c>
      <c r="O32" s="964">
        <v>10000</v>
      </c>
      <c r="P32" s="970"/>
      <c r="Q32" s="964">
        <v>10000</v>
      </c>
      <c r="R32" s="964">
        <v>10000</v>
      </c>
      <c r="S32" s="965"/>
      <c r="T32" s="954"/>
      <c r="U32" s="970">
        <f t="shared" si="5"/>
        <v>70000</v>
      </c>
      <c r="V32" s="970">
        <f t="shared" si="4"/>
        <v>84000</v>
      </c>
      <c r="W32" s="967"/>
      <c r="X32" s="967"/>
      <c r="Y32" s="967"/>
      <c r="Z32" s="967"/>
      <c r="AA32" s="967"/>
      <c r="AB32" s="967"/>
      <c r="AC32" s="967"/>
      <c r="AD32" s="967"/>
      <c r="AE32" s="967"/>
      <c r="AF32" s="967"/>
      <c r="AG32" s="967"/>
      <c r="AH32" s="967"/>
      <c r="AI32" s="967"/>
      <c r="AJ32" s="967"/>
      <c r="AK32" s="967"/>
      <c r="AL32" s="967"/>
      <c r="AM32" s="967"/>
      <c r="AN32" s="967"/>
      <c r="AO32" s="967"/>
      <c r="AP32" s="967"/>
      <c r="AQ32" s="967"/>
      <c r="AR32" s="967"/>
      <c r="AS32" s="967"/>
    </row>
    <row r="33" spans="1:45" s="968" customFormat="1" ht="39.950000000000003" customHeight="1">
      <c r="A33" s="967"/>
      <c r="B33" s="1890"/>
      <c r="C33" s="959" t="s">
        <v>1518</v>
      </c>
      <c r="D33" s="959" t="s">
        <v>1437</v>
      </c>
      <c r="E33" s="962" t="s">
        <v>1519</v>
      </c>
      <c r="F33" s="959" t="s">
        <v>1520</v>
      </c>
      <c r="G33" s="954"/>
      <c r="H33" s="963"/>
      <c r="I33" s="963"/>
      <c r="J33" s="963"/>
      <c r="K33" s="970"/>
      <c r="L33" s="963"/>
      <c r="M33" s="964">
        <v>7500</v>
      </c>
      <c r="N33" s="964">
        <v>7500</v>
      </c>
      <c r="O33" s="964">
        <v>7500</v>
      </c>
      <c r="P33" s="965"/>
      <c r="Q33" s="970"/>
      <c r="R33" s="970"/>
      <c r="S33" s="965"/>
      <c r="T33" s="954"/>
      <c r="U33" s="970">
        <f t="shared" si="5"/>
        <v>22500</v>
      </c>
      <c r="V33" s="970">
        <f t="shared" si="4"/>
        <v>27000</v>
      </c>
      <c r="W33" s="967"/>
      <c r="X33" s="967"/>
      <c r="Y33" s="967"/>
      <c r="Z33" s="967"/>
      <c r="AA33" s="967"/>
      <c r="AB33" s="967"/>
      <c r="AC33" s="967"/>
      <c r="AD33" s="967"/>
      <c r="AE33" s="967"/>
      <c r="AF33" s="967"/>
      <c r="AG33" s="967"/>
      <c r="AH33" s="967"/>
      <c r="AI33" s="967"/>
      <c r="AJ33" s="967"/>
      <c r="AK33" s="967"/>
      <c r="AL33" s="967"/>
      <c r="AM33" s="967"/>
      <c r="AN33" s="967"/>
      <c r="AO33" s="967"/>
      <c r="AP33" s="967"/>
      <c r="AQ33" s="967"/>
      <c r="AR33" s="967"/>
      <c r="AS33" s="967"/>
    </row>
    <row r="34" spans="1:45" s="968" customFormat="1" ht="39.950000000000003" customHeight="1">
      <c r="A34" s="967"/>
      <c r="B34" s="1889"/>
      <c r="C34" s="959" t="s">
        <v>1521</v>
      </c>
      <c r="D34" s="959" t="s">
        <v>1437</v>
      </c>
      <c r="E34" s="959" t="s">
        <v>1522</v>
      </c>
      <c r="F34" s="962" t="s">
        <v>1523</v>
      </c>
      <c r="G34" s="954"/>
      <c r="H34" s="963"/>
      <c r="I34" s="964">
        <v>5000</v>
      </c>
      <c r="J34" s="964">
        <v>5000</v>
      </c>
      <c r="K34" s="964">
        <v>5000</v>
      </c>
      <c r="L34" s="964">
        <v>5000</v>
      </c>
      <c r="M34" s="964">
        <v>5000</v>
      </c>
      <c r="N34" s="964">
        <v>5000</v>
      </c>
      <c r="O34" s="964">
        <v>5000</v>
      </c>
      <c r="P34" s="964">
        <v>5000</v>
      </c>
      <c r="Q34" s="964">
        <v>5000</v>
      </c>
      <c r="R34" s="964">
        <v>5000</v>
      </c>
      <c r="S34" s="964">
        <v>5000</v>
      </c>
      <c r="T34" s="954"/>
      <c r="U34" s="970">
        <f t="shared" si="5"/>
        <v>55000</v>
      </c>
      <c r="V34" s="970">
        <f t="shared" si="4"/>
        <v>66000</v>
      </c>
      <c r="W34" s="967"/>
      <c r="X34" s="967"/>
      <c r="Y34" s="967"/>
      <c r="Z34" s="967"/>
      <c r="AA34" s="967"/>
      <c r="AB34" s="967"/>
      <c r="AC34" s="967"/>
      <c r="AD34" s="967"/>
      <c r="AE34" s="967"/>
      <c r="AF34" s="967"/>
      <c r="AG34" s="967"/>
      <c r="AH34" s="967"/>
      <c r="AI34" s="967"/>
      <c r="AJ34" s="967"/>
      <c r="AK34" s="967"/>
      <c r="AL34" s="967"/>
      <c r="AM34" s="967"/>
      <c r="AN34" s="967"/>
      <c r="AO34" s="967"/>
      <c r="AP34" s="967"/>
      <c r="AQ34" s="967"/>
      <c r="AR34" s="967"/>
      <c r="AS34" s="967"/>
    </row>
    <row r="35" spans="1:45" s="968" customFormat="1" ht="39.950000000000003" customHeight="1">
      <c r="A35" s="967"/>
      <c r="B35" s="959" t="s">
        <v>1524</v>
      </c>
      <c r="C35" s="959" t="s">
        <v>1477</v>
      </c>
      <c r="D35" s="959" t="s">
        <v>1437</v>
      </c>
      <c r="E35" s="959" t="s">
        <v>1477</v>
      </c>
      <c r="F35" s="962" t="s">
        <v>1477</v>
      </c>
      <c r="G35" s="954"/>
      <c r="H35" s="1891">
        <v>93000</v>
      </c>
      <c r="I35" s="1892"/>
      <c r="J35" s="1892"/>
      <c r="K35" s="1892"/>
      <c r="L35" s="1892"/>
      <c r="M35" s="1892"/>
      <c r="N35" s="1892"/>
      <c r="O35" s="1892"/>
      <c r="P35" s="1892"/>
      <c r="Q35" s="1892"/>
      <c r="R35" s="1892"/>
      <c r="S35" s="1893"/>
      <c r="T35" s="954"/>
      <c r="U35" s="970">
        <f t="shared" si="5"/>
        <v>93000</v>
      </c>
      <c r="V35" s="970">
        <f t="shared" si="4"/>
        <v>111600</v>
      </c>
      <c r="W35" s="967"/>
      <c r="X35" s="967"/>
      <c r="Y35" s="967"/>
      <c r="Z35" s="967"/>
      <c r="AA35" s="967"/>
      <c r="AB35" s="967"/>
      <c r="AC35" s="967"/>
      <c r="AD35" s="967"/>
      <c r="AE35" s="967"/>
      <c r="AF35" s="967"/>
      <c r="AG35" s="967"/>
      <c r="AH35" s="967"/>
      <c r="AI35" s="967"/>
      <c r="AJ35" s="967"/>
      <c r="AK35" s="967"/>
      <c r="AL35" s="967"/>
      <c r="AM35" s="967"/>
      <c r="AN35" s="967"/>
      <c r="AO35" s="967"/>
      <c r="AP35" s="967"/>
      <c r="AQ35" s="967"/>
      <c r="AR35" s="967"/>
      <c r="AS35" s="967"/>
    </row>
    <row r="36" spans="1:45" ht="14.1" customHeight="1">
      <c r="A36" s="954"/>
      <c r="B36" s="954"/>
      <c r="C36" s="954"/>
      <c r="D36" s="954"/>
      <c r="E36" s="954"/>
      <c r="F36" s="979"/>
      <c r="G36" s="954"/>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954"/>
      <c r="AL36" s="954"/>
      <c r="AM36" s="954"/>
      <c r="AN36" s="954"/>
      <c r="AO36" s="954"/>
      <c r="AP36" s="954"/>
      <c r="AQ36" s="954"/>
      <c r="AR36" s="954"/>
      <c r="AS36" s="954"/>
    </row>
    <row r="37" spans="1:45">
      <c r="A37" s="954"/>
      <c r="B37" s="1877" t="s">
        <v>1525</v>
      </c>
      <c r="C37" s="1878"/>
      <c r="D37" s="1878"/>
      <c r="E37" s="1878"/>
      <c r="F37" s="1879"/>
      <c r="G37" s="954"/>
      <c r="H37" s="1880"/>
      <c r="I37" s="1881"/>
      <c r="J37" s="1881"/>
      <c r="K37" s="1881"/>
      <c r="L37" s="1881"/>
      <c r="M37" s="1881"/>
      <c r="N37" s="1881"/>
      <c r="O37" s="1881"/>
      <c r="P37" s="1881"/>
      <c r="Q37" s="1881"/>
      <c r="R37" s="1881"/>
      <c r="S37" s="1882"/>
      <c r="T37" s="954"/>
      <c r="U37" s="980">
        <f>SUM(U14:U19,U21:U26,U28:U35)</f>
        <v>2694500</v>
      </c>
      <c r="V37" s="980">
        <f>SUM(V14:V19,V21:V26,V28:V35)</f>
        <v>3233400</v>
      </c>
      <c r="W37" s="954"/>
      <c r="X37" s="954"/>
      <c r="Y37" s="954"/>
      <c r="Z37" s="954"/>
      <c r="AA37" s="954"/>
      <c r="AB37" s="954"/>
      <c r="AC37" s="954"/>
      <c r="AD37" s="954"/>
      <c r="AE37" s="954"/>
      <c r="AF37" s="954"/>
      <c r="AG37" s="954"/>
      <c r="AH37" s="954"/>
      <c r="AI37" s="954"/>
      <c r="AJ37" s="954"/>
      <c r="AK37" s="954"/>
      <c r="AL37" s="954"/>
      <c r="AM37" s="954"/>
      <c r="AN37" s="954"/>
      <c r="AO37" s="954"/>
      <c r="AP37" s="954"/>
      <c r="AQ37" s="954"/>
      <c r="AR37" s="954"/>
      <c r="AS37" s="954"/>
    </row>
    <row r="38" spans="1:45">
      <c r="A38" s="954"/>
      <c r="B38" s="954"/>
      <c r="C38" s="954"/>
      <c r="D38" s="954"/>
      <c r="E38" s="954"/>
      <c r="F38" s="954"/>
      <c r="G38" s="954"/>
      <c r="H38" s="954"/>
      <c r="I38" s="954"/>
      <c r="J38" s="954"/>
      <c r="K38" s="954"/>
      <c r="L38" s="954"/>
      <c r="M38" s="954"/>
      <c r="N38" s="954"/>
      <c r="O38" s="954"/>
      <c r="P38" s="954"/>
      <c r="Q38" s="954"/>
      <c r="R38" s="954"/>
      <c r="S38" s="954"/>
      <c r="T38" s="954"/>
      <c r="U38" s="954"/>
      <c r="V38" s="954"/>
      <c r="W38" s="954"/>
      <c r="X38" s="954"/>
      <c r="Y38" s="954"/>
      <c r="Z38" s="954"/>
      <c r="AA38" s="954"/>
      <c r="AB38" s="954"/>
      <c r="AC38" s="954"/>
      <c r="AD38" s="954"/>
      <c r="AE38" s="954"/>
      <c r="AF38" s="954"/>
      <c r="AG38" s="954"/>
      <c r="AH38" s="954"/>
      <c r="AI38" s="954"/>
      <c r="AJ38" s="954"/>
      <c r="AK38" s="954"/>
      <c r="AL38" s="954"/>
      <c r="AM38" s="954"/>
      <c r="AN38" s="954"/>
      <c r="AO38" s="954"/>
      <c r="AP38" s="954"/>
      <c r="AQ38" s="954"/>
      <c r="AR38" s="954"/>
      <c r="AS38" s="954"/>
    </row>
    <row r="39" spans="1:45">
      <c r="A39" s="954"/>
      <c r="B39" s="954"/>
      <c r="C39" s="954"/>
      <c r="D39" s="954"/>
      <c r="E39" s="954"/>
      <c r="F39" s="954"/>
      <c r="G39" s="954"/>
      <c r="H39" s="981" t="e" cm="1">
        <f t="array" ref="H39">SUM</f>
        <v>#NAME?</v>
      </c>
      <c r="I39" s="981"/>
      <c r="J39" s="954"/>
      <c r="K39" s="954"/>
      <c r="L39" s="954"/>
      <c r="M39" s="954"/>
      <c r="N39" s="954"/>
      <c r="O39" s="954"/>
      <c r="P39" s="954"/>
      <c r="Q39" s="954"/>
      <c r="R39" s="954"/>
      <c r="S39" s="954"/>
      <c r="T39" s="954"/>
      <c r="U39" s="954"/>
      <c r="V39" s="954"/>
      <c r="W39" s="954"/>
      <c r="X39" s="954"/>
      <c r="Y39" s="954"/>
      <c r="Z39" s="954"/>
      <c r="AA39" s="954"/>
      <c r="AB39" s="954"/>
      <c r="AC39" s="954"/>
      <c r="AD39" s="954"/>
      <c r="AE39" s="954"/>
      <c r="AF39" s="954"/>
      <c r="AG39" s="954"/>
      <c r="AH39" s="954"/>
      <c r="AI39" s="954"/>
      <c r="AJ39" s="954"/>
      <c r="AK39" s="954"/>
      <c r="AL39" s="954"/>
      <c r="AM39" s="954"/>
      <c r="AN39" s="954"/>
      <c r="AO39" s="954"/>
      <c r="AP39" s="954"/>
      <c r="AQ39" s="954"/>
      <c r="AR39" s="954"/>
      <c r="AS39" s="954"/>
    </row>
    <row r="40" spans="1:45">
      <c r="A40" s="954"/>
      <c r="B40" s="954"/>
      <c r="C40" s="954"/>
      <c r="D40" s="954"/>
      <c r="E40" s="954"/>
      <c r="F40" s="954"/>
      <c r="G40" s="954"/>
      <c r="H40" s="954"/>
      <c r="I40" s="954"/>
      <c r="J40" s="954"/>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954"/>
      <c r="AH40" s="954"/>
      <c r="AI40" s="954"/>
      <c r="AJ40" s="954"/>
      <c r="AK40" s="954"/>
      <c r="AL40" s="954"/>
      <c r="AM40" s="954"/>
      <c r="AN40" s="954"/>
      <c r="AO40" s="954"/>
      <c r="AP40" s="954"/>
      <c r="AQ40" s="954"/>
      <c r="AR40" s="954"/>
      <c r="AS40" s="954"/>
    </row>
    <row r="41" spans="1:45">
      <c r="A41" s="954"/>
      <c r="B41" s="954"/>
      <c r="C41" s="954"/>
      <c r="D41" s="954"/>
      <c r="E41" s="954"/>
      <c r="F41" s="954"/>
      <c r="G41" s="954"/>
      <c r="H41" s="954"/>
      <c r="I41" s="954"/>
      <c r="J41" s="954"/>
      <c r="K41" s="954"/>
      <c r="L41" s="954"/>
      <c r="M41" s="954"/>
      <c r="N41" s="954"/>
      <c r="O41" s="954"/>
      <c r="P41" s="954"/>
      <c r="Q41" s="954"/>
      <c r="R41" s="954"/>
      <c r="S41" s="954"/>
      <c r="T41" s="954"/>
      <c r="U41" s="954"/>
      <c r="V41" s="954"/>
      <c r="W41" s="954"/>
      <c r="X41" s="954"/>
      <c r="Y41" s="954"/>
      <c r="Z41" s="954"/>
      <c r="AA41" s="954"/>
      <c r="AB41" s="954"/>
      <c r="AC41" s="954"/>
      <c r="AD41" s="954"/>
      <c r="AE41" s="954"/>
      <c r="AF41" s="954"/>
      <c r="AG41" s="954"/>
      <c r="AH41" s="954"/>
      <c r="AI41" s="954"/>
      <c r="AJ41" s="954"/>
      <c r="AK41" s="954"/>
      <c r="AL41" s="954"/>
      <c r="AM41" s="954"/>
      <c r="AN41" s="954"/>
      <c r="AO41" s="954"/>
      <c r="AP41" s="954"/>
      <c r="AQ41" s="954"/>
      <c r="AR41" s="954"/>
      <c r="AS41" s="954"/>
    </row>
    <row r="42" spans="1:45">
      <c r="A42" s="954"/>
      <c r="B42" s="954"/>
      <c r="C42" s="954"/>
      <c r="D42" s="954"/>
      <c r="E42" s="954"/>
      <c r="F42" s="954"/>
      <c r="G42" s="954"/>
      <c r="H42" s="954"/>
      <c r="I42" s="954"/>
      <c r="J42" s="954"/>
      <c r="K42" s="954"/>
      <c r="L42" s="954"/>
      <c r="M42" s="954"/>
      <c r="N42" s="954"/>
      <c r="O42" s="954"/>
      <c r="P42" s="954"/>
      <c r="Q42" s="954"/>
      <c r="R42" s="954"/>
      <c r="S42" s="954"/>
      <c r="T42" s="954"/>
      <c r="U42" s="954"/>
      <c r="V42" s="954"/>
      <c r="W42" s="954"/>
      <c r="X42" s="954"/>
      <c r="Y42" s="954"/>
      <c r="Z42" s="954"/>
      <c r="AA42" s="954"/>
      <c r="AB42" s="954"/>
      <c r="AC42" s="954"/>
      <c r="AD42" s="954"/>
      <c r="AE42" s="954"/>
      <c r="AF42" s="954"/>
      <c r="AG42" s="954"/>
      <c r="AH42" s="954"/>
      <c r="AI42" s="954"/>
      <c r="AJ42" s="954"/>
      <c r="AK42" s="954"/>
      <c r="AL42" s="954"/>
      <c r="AM42" s="954"/>
      <c r="AN42" s="954"/>
      <c r="AO42" s="954"/>
      <c r="AP42" s="954"/>
      <c r="AQ42" s="954"/>
      <c r="AR42" s="954"/>
      <c r="AS42" s="954"/>
    </row>
    <row r="43" spans="1:45">
      <c r="A43" s="954"/>
      <c r="B43" s="954"/>
      <c r="C43" s="954"/>
      <c r="D43" s="954"/>
      <c r="E43" s="954"/>
      <c r="F43" s="954"/>
      <c r="G43" s="954"/>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954"/>
      <c r="AQ43" s="954"/>
      <c r="AR43" s="954"/>
      <c r="AS43" s="954"/>
    </row>
    <row r="44" spans="1:45">
      <c r="A44" s="954"/>
      <c r="B44" s="954"/>
      <c r="C44" s="954"/>
      <c r="D44" s="954"/>
      <c r="E44" s="954"/>
      <c r="F44" s="954"/>
      <c r="G44" s="954"/>
      <c r="H44" s="954"/>
      <c r="I44" s="954"/>
      <c r="J44" s="954"/>
      <c r="K44" s="954"/>
      <c r="L44" s="954"/>
      <c r="M44" s="954"/>
      <c r="N44" s="954"/>
      <c r="O44" s="954"/>
      <c r="P44" s="954"/>
      <c r="Q44" s="954"/>
      <c r="R44" s="954"/>
      <c r="S44" s="954"/>
      <c r="T44" s="954"/>
      <c r="U44" s="954"/>
      <c r="V44" s="954"/>
      <c r="W44" s="954"/>
      <c r="X44" s="954"/>
      <c r="Y44" s="954"/>
      <c r="Z44" s="954"/>
      <c r="AA44" s="954"/>
      <c r="AB44" s="954"/>
      <c r="AC44" s="954"/>
      <c r="AD44" s="954"/>
      <c r="AE44" s="954"/>
      <c r="AF44" s="954"/>
      <c r="AG44" s="954"/>
      <c r="AH44" s="954"/>
      <c r="AI44" s="954"/>
      <c r="AJ44" s="954"/>
      <c r="AK44" s="954"/>
      <c r="AL44" s="954"/>
      <c r="AM44" s="954"/>
      <c r="AN44" s="954"/>
      <c r="AO44" s="954"/>
      <c r="AP44" s="954"/>
      <c r="AQ44" s="954"/>
      <c r="AR44" s="954"/>
      <c r="AS44" s="954"/>
    </row>
    <row r="45" spans="1:45">
      <c r="A45" s="954"/>
      <c r="B45" s="954"/>
      <c r="C45" s="954"/>
      <c r="D45" s="954"/>
      <c r="E45" s="954"/>
      <c r="F45" s="954"/>
      <c r="G45" s="954"/>
      <c r="H45" s="954"/>
      <c r="I45" s="954"/>
      <c r="J45" s="954"/>
      <c r="K45" s="954"/>
      <c r="L45" s="954"/>
      <c r="M45" s="954"/>
      <c r="N45" s="954"/>
      <c r="O45" s="954"/>
      <c r="P45" s="954"/>
      <c r="Q45" s="954"/>
      <c r="R45" s="954"/>
      <c r="S45" s="954"/>
      <c r="T45" s="954"/>
      <c r="U45" s="954"/>
      <c r="V45" s="954"/>
      <c r="W45" s="954"/>
      <c r="X45" s="954"/>
      <c r="Y45" s="954"/>
      <c r="Z45" s="954"/>
      <c r="AA45" s="954"/>
      <c r="AB45" s="954"/>
      <c r="AC45" s="954"/>
      <c r="AD45" s="954"/>
      <c r="AE45" s="954"/>
      <c r="AF45" s="954"/>
      <c r="AG45" s="954"/>
      <c r="AH45" s="954"/>
      <c r="AI45" s="954"/>
      <c r="AJ45" s="954"/>
      <c r="AK45" s="954"/>
      <c r="AL45" s="954"/>
      <c r="AM45" s="954"/>
      <c r="AN45" s="954"/>
      <c r="AO45" s="954"/>
      <c r="AP45" s="954"/>
      <c r="AQ45" s="954"/>
      <c r="AR45" s="954"/>
      <c r="AS45" s="954"/>
    </row>
    <row r="46" spans="1:45">
      <c r="A46" s="954"/>
      <c r="B46" s="954"/>
      <c r="C46" s="954"/>
      <c r="D46" s="954"/>
      <c r="E46" s="954"/>
      <c r="F46" s="954"/>
      <c r="G46" s="954"/>
      <c r="H46" s="954"/>
      <c r="I46" s="954"/>
      <c r="J46" s="954"/>
      <c r="K46" s="954"/>
      <c r="L46" s="954"/>
      <c r="M46" s="954"/>
      <c r="N46" s="954"/>
      <c r="O46" s="954"/>
      <c r="P46" s="954"/>
      <c r="Q46" s="954"/>
      <c r="R46" s="954"/>
      <c r="S46" s="954"/>
      <c r="T46" s="954"/>
      <c r="U46" s="954"/>
      <c r="V46" s="954"/>
      <c r="W46" s="954"/>
      <c r="X46" s="954"/>
      <c r="Y46" s="954"/>
      <c r="Z46" s="954"/>
      <c r="AA46" s="954"/>
      <c r="AB46" s="954"/>
      <c r="AC46" s="954"/>
      <c r="AD46" s="954"/>
      <c r="AE46" s="954"/>
      <c r="AF46" s="954"/>
      <c r="AG46" s="954"/>
      <c r="AH46" s="954"/>
      <c r="AI46" s="954"/>
      <c r="AJ46" s="954"/>
      <c r="AK46" s="954"/>
      <c r="AL46" s="954"/>
      <c r="AM46" s="954"/>
      <c r="AN46" s="954"/>
      <c r="AO46" s="954"/>
      <c r="AP46" s="954"/>
      <c r="AQ46" s="954"/>
      <c r="AR46" s="954"/>
      <c r="AS46" s="954"/>
    </row>
    <row r="47" spans="1:45">
      <c r="A47" s="954"/>
      <c r="B47" s="954"/>
      <c r="C47" s="954"/>
      <c r="D47" s="954"/>
      <c r="E47" s="954"/>
      <c r="F47" s="954"/>
      <c r="G47" s="954"/>
      <c r="H47" s="954"/>
      <c r="I47" s="954"/>
      <c r="J47" s="954"/>
      <c r="K47" s="954"/>
      <c r="L47" s="954"/>
      <c r="M47" s="954"/>
      <c r="N47" s="954"/>
      <c r="O47" s="954"/>
      <c r="P47" s="954"/>
      <c r="Q47" s="954"/>
      <c r="R47" s="954"/>
      <c r="S47" s="954"/>
      <c r="T47" s="954"/>
      <c r="U47" s="954"/>
      <c r="V47" s="954"/>
      <c r="W47" s="954"/>
      <c r="X47" s="954"/>
      <c r="Y47" s="954"/>
      <c r="Z47" s="954"/>
      <c r="AA47" s="954"/>
      <c r="AB47" s="954"/>
      <c r="AC47" s="954"/>
      <c r="AD47" s="954"/>
      <c r="AE47" s="954"/>
      <c r="AF47" s="954"/>
      <c r="AG47" s="954"/>
      <c r="AH47" s="954"/>
      <c r="AI47" s="954"/>
      <c r="AJ47" s="954"/>
      <c r="AK47" s="954"/>
      <c r="AL47" s="954"/>
      <c r="AM47" s="954"/>
      <c r="AN47" s="954"/>
      <c r="AO47" s="954"/>
      <c r="AP47" s="954"/>
      <c r="AQ47" s="954"/>
      <c r="AR47" s="954"/>
      <c r="AS47" s="954"/>
    </row>
    <row r="48" spans="1:45">
      <c r="A48" s="954"/>
      <c r="B48" s="954"/>
      <c r="C48" s="954"/>
      <c r="D48" s="954"/>
      <c r="E48" s="954"/>
      <c r="F48" s="954"/>
      <c r="G48" s="954"/>
      <c r="H48" s="954"/>
      <c r="I48" s="954"/>
      <c r="J48" s="954"/>
      <c r="K48" s="954"/>
      <c r="L48" s="954"/>
      <c r="M48" s="954"/>
      <c r="N48" s="954"/>
      <c r="O48" s="954"/>
      <c r="P48" s="954"/>
      <c r="Q48" s="954"/>
      <c r="R48" s="954"/>
      <c r="S48" s="954"/>
      <c r="T48" s="954"/>
      <c r="U48" s="954"/>
      <c r="V48" s="954"/>
      <c r="W48" s="954"/>
      <c r="X48" s="954"/>
      <c r="Y48" s="954"/>
      <c r="Z48" s="954"/>
      <c r="AA48" s="954"/>
      <c r="AB48" s="954"/>
      <c r="AC48" s="954"/>
      <c r="AD48" s="954"/>
      <c r="AE48" s="954"/>
      <c r="AF48" s="954"/>
      <c r="AG48" s="954"/>
      <c r="AH48" s="954"/>
      <c r="AI48" s="954"/>
      <c r="AJ48" s="954"/>
      <c r="AK48" s="954"/>
      <c r="AL48" s="954"/>
      <c r="AM48" s="954"/>
      <c r="AN48" s="954"/>
      <c r="AO48" s="954"/>
      <c r="AP48" s="954"/>
      <c r="AQ48" s="954"/>
      <c r="AR48" s="954"/>
      <c r="AS48" s="954"/>
    </row>
    <row r="49" spans="1:45">
      <c r="A49" s="954"/>
      <c r="B49" s="954"/>
      <c r="C49" s="954"/>
      <c r="D49" s="954"/>
      <c r="E49" s="954"/>
      <c r="F49" s="954"/>
      <c r="G49" s="954"/>
      <c r="H49" s="954"/>
      <c r="I49" s="954"/>
      <c r="J49" s="954"/>
      <c r="K49" s="954"/>
      <c r="L49" s="954"/>
      <c r="M49" s="954"/>
      <c r="N49" s="954"/>
      <c r="O49" s="954"/>
      <c r="P49" s="954"/>
      <c r="Q49" s="954"/>
      <c r="R49" s="954"/>
      <c r="S49" s="954"/>
      <c r="T49" s="954"/>
      <c r="U49" s="954"/>
      <c r="V49" s="954"/>
      <c r="W49" s="954"/>
      <c r="X49" s="954"/>
      <c r="Y49" s="954"/>
      <c r="Z49" s="954"/>
      <c r="AA49" s="954"/>
      <c r="AB49" s="954"/>
      <c r="AC49" s="954"/>
      <c r="AD49" s="954"/>
      <c r="AE49" s="954"/>
      <c r="AF49" s="954"/>
      <c r="AG49" s="954"/>
      <c r="AH49" s="954"/>
      <c r="AI49" s="954"/>
      <c r="AJ49" s="954"/>
      <c r="AK49" s="954"/>
      <c r="AL49" s="954"/>
      <c r="AM49" s="954"/>
      <c r="AN49" s="954"/>
      <c r="AO49" s="954"/>
      <c r="AP49" s="954"/>
      <c r="AQ49" s="954"/>
      <c r="AR49" s="954"/>
      <c r="AS49" s="954"/>
    </row>
    <row r="50" spans="1:45">
      <c r="A50" s="954"/>
      <c r="B50" s="954"/>
      <c r="C50" s="954"/>
      <c r="D50" s="954"/>
      <c r="E50" s="954"/>
      <c r="F50" s="954"/>
      <c r="G50" s="954"/>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954"/>
      <c r="AL50" s="954"/>
      <c r="AM50" s="954"/>
      <c r="AN50" s="954"/>
      <c r="AO50" s="954"/>
      <c r="AP50" s="954"/>
      <c r="AQ50" s="954"/>
      <c r="AR50" s="954"/>
      <c r="AS50" s="954"/>
    </row>
    <row r="51" spans="1:45">
      <c r="A51" s="954"/>
      <c r="B51" s="954"/>
      <c r="C51" s="954"/>
      <c r="D51" s="954"/>
      <c r="E51" s="954"/>
      <c r="F51" s="954"/>
      <c r="G51" s="954"/>
      <c r="H51" s="954"/>
      <c r="I51" s="954"/>
      <c r="J51" s="954"/>
      <c r="K51" s="954"/>
      <c r="L51" s="954"/>
      <c r="M51" s="954"/>
      <c r="N51" s="954"/>
      <c r="O51" s="954"/>
      <c r="P51" s="954"/>
      <c r="Q51" s="954"/>
      <c r="R51" s="954"/>
      <c r="S51" s="954"/>
      <c r="T51" s="954"/>
      <c r="U51" s="954"/>
      <c r="V51" s="954"/>
      <c r="W51" s="954"/>
      <c r="X51" s="954"/>
      <c r="Y51" s="954"/>
      <c r="Z51" s="954"/>
      <c r="AA51" s="954"/>
      <c r="AB51" s="954"/>
      <c r="AC51" s="954"/>
      <c r="AD51" s="954"/>
      <c r="AE51" s="954"/>
      <c r="AF51" s="954"/>
      <c r="AG51" s="954"/>
      <c r="AH51" s="954"/>
      <c r="AI51" s="954"/>
      <c r="AJ51" s="954"/>
      <c r="AK51" s="954"/>
      <c r="AL51" s="954"/>
      <c r="AM51" s="954"/>
      <c r="AN51" s="954"/>
      <c r="AO51" s="954"/>
      <c r="AP51" s="954"/>
      <c r="AQ51" s="954"/>
      <c r="AR51" s="954"/>
      <c r="AS51" s="954"/>
    </row>
    <row r="52" spans="1:45">
      <c r="A52" s="954"/>
      <c r="B52" s="954"/>
      <c r="C52" s="954"/>
      <c r="D52" s="954"/>
      <c r="E52" s="954"/>
      <c r="F52" s="954"/>
      <c r="G52" s="954"/>
      <c r="H52" s="954"/>
      <c r="I52" s="954"/>
      <c r="J52" s="954"/>
      <c r="K52" s="954"/>
      <c r="L52" s="954"/>
      <c r="M52" s="954"/>
      <c r="N52" s="954"/>
      <c r="O52" s="954"/>
      <c r="P52" s="954"/>
      <c r="Q52" s="954"/>
      <c r="R52" s="954"/>
      <c r="S52" s="954"/>
      <c r="T52" s="954"/>
      <c r="U52" s="954"/>
      <c r="V52" s="954"/>
      <c r="W52" s="954"/>
      <c r="X52" s="954"/>
      <c r="Y52" s="954"/>
      <c r="Z52" s="954"/>
      <c r="AA52" s="954"/>
      <c r="AB52" s="954"/>
      <c r="AC52" s="954"/>
      <c r="AD52" s="954"/>
      <c r="AE52" s="954"/>
      <c r="AF52" s="954"/>
      <c r="AG52" s="954"/>
      <c r="AH52" s="954"/>
      <c r="AI52" s="954"/>
      <c r="AJ52" s="954"/>
      <c r="AK52" s="954"/>
      <c r="AL52" s="954"/>
      <c r="AM52" s="954"/>
      <c r="AN52" s="954"/>
      <c r="AO52" s="954"/>
      <c r="AP52" s="954"/>
      <c r="AQ52" s="954"/>
      <c r="AR52" s="954"/>
      <c r="AS52" s="954"/>
    </row>
    <row r="53" spans="1:45">
      <c r="A53" s="954"/>
      <c r="B53" s="954"/>
      <c r="C53" s="954"/>
      <c r="D53" s="954"/>
      <c r="E53" s="954"/>
      <c r="F53" s="954"/>
      <c r="G53" s="954"/>
      <c r="H53" s="954"/>
      <c r="I53" s="954"/>
      <c r="J53" s="954"/>
      <c r="K53" s="954"/>
      <c r="L53" s="954"/>
      <c r="M53" s="954"/>
      <c r="N53" s="954"/>
      <c r="O53" s="954"/>
      <c r="P53" s="954"/>
      <c r="Q53" s="954"/>
      <c r="R53" s="954"/>
      <c r="S53" s="954"/>
      <c r="T53" s="954"/>
      <c r="U53" s="954"/>
      <c r="V53" s="954"/>
      <c r="W53" s="954"/>
      <c r="X53" s="954"/>
      <c r="Y53" s="954"/>
      <c r="Z53" s="954"/>
      <c r="AA53" s="954"/>
      <c r="AB53" s="954"/>
      <c r="AC53" s="954"/>
      <c r="AD53" s="954"/>
      <c r="AE53" s="954"/>
      <c r="AF53" s="954"/>
      <c r="AG53" s="954"/>
      <c r="AH53" s="954"/>
      <c r="AI53" s="954"/>
      <c r="AJ53" s="954"/>
      <c r="AK53" s="954"/>
      <c r="AL53" s="954"/>
      <c r="AM53" s="954"/>
      <c r="AN53" s="954"/>
      <c r="AO53" s="954"/>
      <c r="AP53" s="954"/>
      <c r="AQ53" s="954"/>
      <c r="AR53" s="954"/>
      <c r="AS53" s="954"/>
    </row>
    <row r="54" spans="1:45">
      <c r="A54" s="954"/>
      <c r="B54" s="954"/>
      <c r="C54" s="954"/>
      <c r="D54" s="954"/>
      <c r="E54" s="954"/>
      <c r="F54" s="954"/>
      <c r="G54" s="954"/>
      <c r="H54" s="954"/>
      <c r="I54" s="954"/>
      <c r="J54" s="954"/>
      <c r="K54" s="954"/>
      <c r="L54" s="954"/>
      <c r="M54" s="954"/>
      <c r="N54" s="954"/>
      <c r="O54" s="954"/>
      <c r="P54" s="954"/>
      <c r="Q54" s="954"/>
      <c r="R54" s="954"/>
      <c r="S54" s="954"/>
      <c r="T54" s="954"/>
      <c r="U54" s="954"/>
      <c r="V54" s="954"/>
      <c r="W54" s="954"/>
      <c r="X54" s="954"/>
      <c r="Y54" s="954"/>
      <c r="Z54" s="954"/>
      <c r="AA54" s="954"/>
      <c r="AB54" s="954"/>
      <c r="AC54" s="954"/>
      <c r="AD54" s="954"/>
      <c r="AE54" s="954"/>
      <c r="AF54" s="954"/>
      <c r="AG54" s="954"/>
      <c r="AH54" s="954"/>
      <c r="AI54" s="954"/>
      <c r="AJ54" s="954"/>
      <c r="AK54" s="954"/>
      <c r="AL54" s="954"/>
      <c r="AM54" s="954"/>
      <c r="AN54" s="954"/>
      <c r="AO54" s="954"/>
      <c r="AP54" s="954"/>
      <c r="AQ54" s="954"/>
      <c r="AR54" s="954"/>
      <c r="AS54" s="954"/>
    </row>
    <row r="55" spans="1:45">
      <c r="A55" s="954"/>
      <c r="B55" s="954"/>
      <c r="C55" s="954"/>
      <c r="D55" s="954"/>
      <c r="E55" s="954"/>
      <c r="F55" s="954"/>
      <c r="G55" s="954"/>
      <c r="H55" s="954"/>
      <c r="I55" s="954"/>
      <c r="J55" s="954"/>
      <c r="K55" s="954"/>
      <c r="L55" s="954"/>
      <c r="M55" s="954"/>
      <c r="N55" s="954"/>
      <c r="O55" s="954"/>
      <c r="P55" s="954"/>
      <c r="Q55" s="954"/>
      <c r="R55" s="954"/>
      <c r="S55" s="954"/>
      <c r="T55" s="954"/>
      <c r="U55" s="954"/>
      <c r="V55" s="954"/>
      <c r="W55" s="954"/>
      <c r="X55" s="954"/>
      <c r="Y55" s="954"/>
      <c r="Z55" s="954"/>
      <c r="AA55" s="954"/>
      <c r="AB55" s="954"/>
      <c r="AC55" s="954"/>
      <c r="AD55" s="954"/>
      <c r="AE55" s="954"/>
      <c r="AF55" s="954"/>
      <c r="AG55" s="954"/>
      <c r="AH55" s="954"/>
      <c r="AI55" s="954"/>
      <c r="AJ55" s="954"/>
      <c r="AK55" s="954"/>
      <c r="AL55" s="954"/>
      <c r="AM55" s="954"/>
      <c r="AN55" s="954"/>
      <c r="AO55" s="954"/>
      <c r="AP55" s="954"/>
      <c r="AQ55" s="954"/>
      <c r="AR55" s="954"/>
      <c r="AS55" s="954"/>
    </row>
    <row r="56" spans="1:45">
      <c r="A56" s="954"/>
      <c r="B56" s="954"/>
      <c r="C56" s="954"/>
      <c r="D56" s="954"/>
      <c r="E56" s="954"/>
      <c r="F56" s="954"/>
      <c r="G56" s="954"/>
      <c r="H56" s="954"/>
      <c r="I56" s="954"/>
      <c r="J56" s="954"/>
      <c r="K56" s="954"/>
      <c r="L56" s="954"/>
      <c r="M56" s="954"/>
      <c r="N56" s="954"/>
      <c r="O56" s="954"/>
      <c r="P56" s="954"/>
      <c r="Q56" s="954"/>
      <c r="R56" s="954"/>
      <c r="S56" s="954"/>
      <c r="T56" s="954"/>
      <c r="U56" s="954"/>
      <c r="V56" s="954"/>
      <c r="W56" s="954"/>
      <c r="X56" s="954"/>
      <c r="Y56" s="954"/>
      <c r="Z56" s="954"/>
      <c r="AA56" s="954"/>
      <c r="AB56" s="954"/>
      <c r="AC56" s="954"/>
      <c r="AD56" s="954"/>
      <c r="AE56" s="954"/>
      <c r="AF56" s="954"/>
      <c r="AG56" s="954"/>
      <c r="AH56" s="954"/>
      <c r="AI56" s="954"/>
      <c r="AJ56" s="954"/>
      <c r="AK56" s="954"/>
      <c r="AL56" s="954"/>
      <c r="AM56" s="954"/>
      <c r="AN56" s="954"/>
      <c r="AO56" s="954"/>
      <c r="AP56" s="954"/>
      <c r="AQ56" s="954"/>
      <c r="AR56" s="954"/>
      <c r="AS56" s="954"/>
    </row>
    <row r="57" spans="1:45">
      <c r="A57" s="954"/>
      <c r="B57" s="954"/>
      <c r="C57" s="954"/>
      <c r="D57" s="954"/>
      <c r="E57" s="954"/>
      <c r="F57" s="954"/>
      <c r="G57" s="954"/>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954"/>
      <c r="AL57" s="954"/>
      <c r="AM57" s="954"/>
      <c r="AN57" s="954"/>
      <c r="AO57" s="954"/>
      <c r="AP57" s="954"/>
      <c r="AQ57" s="954"/>
      <c r="AR57" s="954"/>
      <c r="AS57" s="954"/>
    </row>
    <row r="58" spans="1:45">
      <c r="A58" s="954"/>
      <c r="B58" s="954"/>
      <c r="C58" s="954"/>
      <c r="D58" s="954"/>
      <c r="E58" s="954"/>
      <c r="F58" s="954"/>
      <c r="G58" s="954"/>
      <c r="H58" s="954"/>
      <c r="I58" s="954"/>
      <c r="J58" s="954"/>
      <c r="K58" s="954"/>
      <c r="L58" s="954"/>
      <c r="M58" s="954"/>
      <c r="N58" s="954"/>
      <c r="O58" s="954"/>
      <c r="P58" s="954"/>
      <c r="Q58" s="954"/>
      <c r="R58" s="954"/>
      <c r="S58" s="954"/>
      <c r="T58" s="954"/>
      <c r="U58" s="954"/>
      <c r="V58" s="954"/>
      <c r="W58" s="954"/>
      <c r="X58" s="954"/>
      <c r="Y58" s="954"/>
      <c r="Z58" s="954"/>
      <c r="AA58" s="954"/>
      <c r="AB58" s="954"/>
      <c r="AC58" s="954"/>
      <c r="AD58" s="954"/>
      <c r="AE58" s="954"/>
      <c r="AF58" s="954"/>
      <c r="AG58" s="954"/>
      <c r="AH58" s="954"/>
      <c r="AI58" s="954"/>
      <c r="AJ58" s="954"/>
      <c r="AK58" s="954"/>
      <c r="AL58" s="954"/>
      <c r="AM58" s="954"/>
      <c r="AN58" s="954"/>
      <c r="AO58" s="954"/>
      <c r="AP58" s="954"/>
      <c r="AQ58" s="954"/>
      <c r="AR58" s="954"/>
      <c r="AS58" s="954"/>
    </row>
    <row r="59" spans="1:45">
      <c r="A59" s="954"/>
      <c r="B59" s="954"/>
      <c r="C59" s="954"/>
      <c r="D59" s="954"/>
      <c r="E59" s="954"/>
      <c r="F59" s="954"/>
      <c r="G59" s="954"/>
      <c r="H59" s="954"/>
      <c r="I59" s="954"/>
      <c r="J59" s="954"/>
      <c r="K59" s="954"/>
      <c r="L59" s="954"/>
      <c r="M59" s="954"/>
      <c r="N59" s="954"/>
      <c r="O59" s="954"/>
      <c r="P59" s="954"/>
      <c r="Q59" s="954"/>
      <c r="R59" s="954"/>
      <c r="S59" s="954"/>
      <c r="T59" s="954"/>
      <c r="U59" s="954"/>
      <c r="V59" s="954"/>
      <c r="W59" s="954"/>
      <c r="X59" s="954"/>
      <c r="Y59" s="954"/>
      <c r="Z59" s="954"/>
      <c r="AA59" s="954"/>
      <c r="AB59" s="954"/>
      <c r="AC59" s="954"/>
      <c r="AD59" s="954"/>
      <c r="AE59" s="954"/>
      <c r="AF59" s="954"/>
      <c r="AG59" s="954"/>
      <c r="AH59" s="954"/>
      <c r="AI59" s="954"/>
      <c r="AJ59" s="954"/>
      <c r="AK59" s="954"/>
      <c r="AL59" s="954"/>
      <c r="AM59" s="954"/>
      <c r="AN59" s="954"/>
      <c r="AO59" s="954"/>
      <c r="AP59" s="954"/>
      <c r="AQ59" s="954"/>
      <c r="AR59" s="954"/>
      <c r="AS59" s="954"/>
    </row>
    <row r="60" spans="1:45">
      <c r="A60" s="954"/>
      <c r="B60" s="954"/>
      <c r="C60" s="954"/>
      <c r="D60" s="954"/>
      <c r="E60" s="954"/>
      <c r="F60" s="954"/>
      <c r="G60" s="954"/>
      <c r="H60" s="954"/>
      <c r="I60" s="954"/>
      <c r="J60" s="954"/>
      <c r="K60" s="954"/>
      <c r="L60" s="954"/>
      <c r="M60" s="954"/>
      <c r="N60" s="954"/>
      <c r="O60" s="954"/>
      <c r="P60" s="954"/>
      <c r="Q60" s="954"/>
      <c r="R60" s="954"/>
      <c r="S60" s="954"/>
      <c r="T60" s="954"/>
      <c r="U60" s="954"/>
      <c r="V60" s="954"/>
      <c r="W60" s="954"/>
      <c r="X60" s="954"/>
      <c r="Y60" s="954"/>
      <c r="Z60" s="954"/>
      <c r="AA60" s="954"/>
      <c r="AB60" s="954"/>
      <c r="AC60" s="954"/>
      <c r="AD60" s="954"/>
      <c r="AE60" s="954"/>
      <c r="AF60" s="954"/>
      <c r="AG60" s="954"/>
      <c r="AH60" s="954"/>
      <c r="AI60" s="954"/>
      <c r="AJ60" s="954"/>
      <c r="AK60" s="954"/>
      <c r="AL60" s="954"/>
      <c r="AM60" s="954"/>
      <c r="AN60" s="954"/>
      <c r="AO60" s="954"/>
      <c r="AP60" s="954"/>
      <c r="AQ60" s="954"/>
      <c r="AR60" s="954"/>
      <c r="AS60" s="954"/>
    </row>
    <row r="61" spans="1:45">
      <c r="A61" s="954"/>
      <c r="B61" s="954"/>
      <c r="C61" s="954"/>
      <c r="D61" s="954"/>
      <c r="E61" s="954"/>
      <c r="F61" s="954"/>
      <c r="G61" s="954"/>
      <c r="H61" s="954"/>
      <c r="I61" s="954"/>
      <c r="J61" s="954"/>
      <c r="K61" s="954"/>
      <c r="L61" s="954"/>
      <c r="M61" s="954"/>
      <c r="N61" s="954"/>
      <c r="O61" s="954"/>
      <c r="P61" s="954"/>
      <c r="Q61" s="954"/>
      <c r="R61" s="954"/>
      <c r="S61" s="954"/>
      <c r="T61" s="954"/>
      <c r="U61" s="954"/>
      <c r="V61" s="954"/>
      <c r="W61" s="954"/>
      <c r="X61" s="954"/>
      <c r="Y61" s="954"/>
      <c r="Z61" s="954"/>
      <c r="AA61" s="954"/>
      <c r="AB61" s="954"/>
      <c r="AC61" s="954"/>
      <c r="AD61" s="954"/>
      <c r="AE61" s="954"/>
      <c r="AF61" s="954"/>
      <c r="AG61" s="954"/>
      <c r="AH61" s="954"/>
      <c r="AI61" s="954"/>
      <c r="AJ61" s="954"/>
      <c r="AK61" s="954"/>
      <c r="AL61" s="954"/>
      <c r="AM61" s="954"/>
      <c r="AN61" s="954"/>
      <c r="AO61" s="954"/>
      <c r="AP61" s="954"/>
      <c r="AQ61" s="954"/>
      <c r="AR61" s="954"/>
      <c r="AS61" s="954"/>
    </row>
    <row r="62" spans="1:45">
      <c r="A62" s="954"/>
      <c r="B62" s="954"/>
      <c r="C62" s="954"/>
      <c r="D62" s="954"/>
      <c r="E62" s="954"/>
      <c r="F62" s="954"/>
      <c r="G62" s="954"/>
      <c r="H62" s="954"/>
      <c r="I62" s="954"/>
      <c r="J62" s="954"/>
      <c r="K62" s="954"/>
      <c r="L62" s="954"/>
      <c r="M62" s="954"/>
      <c r="N62" s="954"/>
      <c r="O62" s="954"/>
      <c r="P62" s="954"/>
      <c r="Q62" s="954"/>
      <c r="R62" s="954"/>
      <c r="S62" s="954"/>
      <c r="T62" s="954"/>
      <c r="U62" s="954"/>
      <c r="V62" s="954"/>
      <c r="W62" s="954"/>
      <c r="X62" s="954"/>
      <c r="Y62" s="954"/>
      <c r="Z62" s="954"/>
      <c r="AA62" s="954"/>
      <c r="AB62" s="954"/>
      <c r="AC62" s="954"/>
      <c r="AD62" s="954"/>
      <c r="AE62" s="954"/>
      <c r="AF62" s="954"/>
      <c r="AG62" s="954"/>
      <c r="AH62" s="954"/>
      <c r="AI62" s="954"/>
      <c r="AJ62" s="954"/>
      <c r="AK62" s="954"/>
      <c r="AL62" s="954"/>
      <c r="AM62" s="954"/>
      <c r="AN62" s="954"/>
      <c r="AO62" s="954"/>
      <c r="AP62" s="954"/>
      <c r="AQ62" s="954"/>
      <c r="AR62" s="954"/>
      <c r="AS62" s="954"/>
    </row>
    <row r="63" spans="1:45">
      <c r="A63" s="954"/>
      <c r="B63" s="954"/>
      <c r="C63" s="954"/>
      <c r="D63" s="954"/>
      <c r="E63" s="954"/>
      <c r="F63" s="954"/>
      <c r="G63" s="954"/>
      <c r="H63" s="954"/>
      <c r="I63" s="954"/>
      <c r="J63" s="954"/>
      <c r="K63" s="954"/>
      <c r="L63" s="954"/>
      <c r="M63" s="954"/>
      <c r="N63" s="954"/>
      <c r="O63" s="954"/>
      <c r="P63" s="954"/>
      <c r="Q63" s="954"/>
      <c r="R63" s="954"/>
      <c r="S63" s="954"/>
      <c r="T63" s="954"/>
      <c r="U63" s="954"/>
      <c r="V63" s="954"/>
      <c r="W63" s="954"/>
      <c r="X63" s="954"/>
      <c r="Y63" s="954"/>
      <c r="Z63" s="954"/>
      <c r="AA63" s="954"/>
      <c r="AB63" s="954"/>
      <c r="AC63" s="954"/>
      <c r="AD63" s="954"/>
      <c r="AE63" s="954"/>
      <c r="AF63" s="954"/>
      <c r="AG63" s="954"/>
      <c r="AH63" s="954"/>
      <c r="AI63" s="954"/>
      <c r="AJ63" s="954"/>
      <c r="AK63" s="954"/>
      <c r="AL63" s="954"/>
      <c r="AM63" s="954"/>
      <c r="AN63" s="954"/>
      <c r="AO63" s="954"/>
      <c r="AP63" s="954"/>
      <c r="AQ63" s="954"/>
      <c r="AR63" s="954"/>
      <c r="AS63" s="954"/>
    </row>
    <row r="64" spans="1:45">
      <c r="A64" s="954"/>
      <c r="B64" s="954"/>
      <c r="C64" s="954"/>
      <c r="D64" s="954"/>
      <c r="E64" s="954"/>
      <c r="F64" s="954"/>
      <c r="G64" s="954"/>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c r="AS64" s="954"/>
    </row>
    <row r="65" spans="1:45">
      <c r="A65" s="954"/>
      <c r="B65" s="954"/>
      <c r="C65" s="954"/>
      <c r="D65" s="954"/>
      <c r="E65" s="954"/>
      <c r="F65" s="954"/>
      <c r="G65" s="954"/>
      <c r="H65" s="954"/>
      <c r="I65" s="954"/>
      <c r="J65" s="954"/>
      <c r="K65" s="954"/>
      <c r="L65" s="954"/>
      <c r="M65" s="954"/>
      <c r="N65" s="954"/>
      <c r="O65" s="954"/>
      <c r="P65" s="954"/>
      <c r="Q65" s="954"/>
      <c r="R65" s="954"/>
      <c r="S65" s="954"/>
      <c r="T65" s="954"/>
      <c r="U65" s="954"/>
      <c r="V65" s="954"/>
      <c r="W65" s="954"/>
      <c r="X65" s="954"/>
      <c r="Y65" s="954"/>
      <c r="Z65" s="954"/>
      <c r="AA65" s="954"/>
      <c r="AB65" s="954"/>
      <c r="AC65" s="954"/>
      <c r="AD65" s="954"/>
      <c r="AE65" s="954"/>
      <c r="AF65" s="954"/>
      <c r="AG65" s="954"/>
      <c r="AH65" s="954"/>
      <c r="AI65" s="954"/>
      <c r="AJ65" s="954"/>
      <c r="AK65" s="954"/>
      <c r="AL65" s="954"/>
      <c r="AM65" s="954"/>
      <c r="AN65" s="954"/>
      <c r="AO65" s="954"/>
      <c r="AP65" s="954"/>
      <c r="AQ65" s="954"/>
      <c r="AR65" s="954"/>
      <c r="AS65" s="954"/>
    </row>
    <row r="66" spans="1:45">
      <c r="A66" s="954"/>
      <c r="B66" s="954"/>
      <c r="C66" s="954"/>
      <c r="D66" s="954"/>
      <c r="E66" s="954"/>
      <c r="F66" s="954"/>
      <c r="G66" s="954"/>
      <c r="H66" s="954"/>
      <c r="I66" s="954"/>
      <c r="J66" s="954"/>
      <c r="K66" s="954"/>
      <c r="L66" s="954"/>
      <c r="M66" s="954"/>
      <c r="N66" s="954"/>
      <c r="O66" s="954"/>
      <c r="P66" s="954"/>
      <c r="Q66" s="954"/>
      <c r="R66" s="954"/>
      <c r="S66" s="954"/>
      <c r="T66" s="954"/>
      <c r="U66" s="954"/>
      <c r="V66" s="954"/>
      <c r="W66" s="954"/>
      <c r="X66" s="954"/>
      <c r="Y66" s="954"/>
      <c r="Z66" s="954"/>
      <c r="AA66" s="954"/>
      <c r="AB66" s="954"/>
      <c r="AC66" s="954"/>
      <c r="AD66" s="954"/>
      <c r="AE66" s="954"/>
      <c r="AF66" s="954"/>
      <c r="AG66" s="954"/>
      <c r="AH66" s="954"/>
      <c r="AI66" s="954"/>
      <c r="AJ66" s="954"/>
      <c r="AK66" s="954"/>
      <c r="AL66" s="954"/>
      <c r="AM66" s="954"/>
      <c r="AN66" s="954"/>
      <c r="AO66" s="954"/>
      <c r="AP66" s="954"/>
      <c r="AQ66" s="954"/>
      <c r="AR66" s="954"/>
      <c r="AS66" s="954"/>
    </row>
    <row r="67" spans="1:45">
      <c r="A67" s="954"/>
      <c r="B67" s="954"/>
      <c r="C67" s="954"/>
      <c r="D67" s="954"/>
      <c r="E67" s="954"/>
      <c r="F67" s="954"/>
      <c r="G67" s="954"/>
      <c r="H67" s="954"/>
      <c r="I67" s="954"/>
      <c r="J67" s="954"/>
      <c r="K67" s="954"/>
      <c r="L67" s="954"/>
      <c r="M67" s="954"/>
      <c r="N67" s="954"/>
      <c r="O67" s="954"/>
      <c r="P67" s="954"/>
      <c r="Q67" s="954"/>
      <c r="R67" s="954"/>
      <c r="S67" s="954"/>
      <c r="T67" s="954"/>
      <c r="U67" s="954"/>
      <c r="V67" s="954"/>
      <c r="W67" s="954"/>
      <c r="X67" s="954"/>
      <c r="Y67" s="954"/>
      <c r="Z67" s="954"/>
      <c r="AA67" s="954"/>
      <c r="AB67" s="954"/>
      <c r="AC67" s="954"/>
      <c r="AD67" s="954"/>
      <c r="AE67" s="954"/>
      <c r="AF67" s="954"/>
      <c r="AG67" s="954"/>
      <c r="AH67" s="954"/>
      <c r="AI67" s="954"/>
      <c r="AJ67" s="954"/>
      <c r="AK67" s="954"/>
      <c r="AL67" s="954"/>
      <c r="AM67" s="954"/>
      <c r="AN67" s="954"/>
      <c r="AO67" s="954"/>
      <c r="AP67" s="954"/>
      <c r="AQ67" s="954"/>
      <c r="AR67" s="954"/>
      <c r="AS67" s="954"/>
    </row>
    <row r="68" spans="1:45">
      <c r="A68" s="954"/>
      <c r="B68" s="954"/>
      <c r="C68" s="954"/>
      <c r="D68" s="954"/>
      <c r="E68" s="954"/>
      <c r="F68" s="954"/>
      <c r="G68" s="954"/>
      <c r="H68" s="954"/>
      <c r="I68" s="954"/>
      <c r="J68" s="954"/>
      <c r="K68" s="954"/>
      <c r="L68" s="954"/>
      <c r="M68" s="954"/>
      <c r="N68" s="954"/>
      <c r="O68" s="954"/>
      <c r="P68" s="954"/>
      <c r="Q68" s="954"/>
      <c r="R68" s="954"/>
      <c r="S68" s="954"/>
      <c r="T68" s="954"/>
      <c r="U68" s="954"/>
      <c r="V68" s="954"/>
      <c r="W68" s="954"/>
      <c r="X68" s="954"/>
      <c r="Y68" s="954"/>
      <c r="Z68" s="954"/>
      <c r="AA68" s="954"/>
      <c r="AB68" s="954"/>
      <c r="AC68" s="954"/>
      <c r="AD68" s="954"/>
      <c r="AE68" s="954"/>
      <c r="AF68" s="954"/>
      <c r="AG68" s="954"/>
      <c r="AH68" s="954"/>
      <c r="AI68" s="954"/>
      <c r="AJ68" s="954"/>
      <c r="AK68" s="954"/>
      <c r="AL68" s="954"/>
      <c r="AM68" s="954"/>
      <c r="AN68" s="954"/>
      <c r="AO68" s="954"/>
      <c r="AP68" s="954"/>
      <c r="AQ68" s="954"/>
      <c r="AR68" s="954"/>
      <c r="AS68" s="954"/>
    </row>
    <row r="69" spans="1:45">
      <c r="A69" s="954"/>
      <c r="B69" s="954"/>
      <c r="C69" s="954"/>
      <c r="D69" s="954"/>
      <c r="E69" s="954"/>
      <c r="F69" s="954"/>
      <c r="G69" s="954"/>
      <c r="H69" s="954"/>
      <c r="I69" s="954"/>
      <c r="J69" s="954"/>
      <c r="K69" s="954"/>
      <c r="L69" s="954"/>
      <c r="M69" s="954"/>
      <c r="N69" s="954"/>
      <c r="O69" s="954"/>
      <c r="P69" s="954"/>
      <c r="Q69" s="954"/>
      <c r="R69" s="954"/>
      <c r="S69" s="954"/>
      <c r="T69" s="954"/>
      <c r="U69" s="954"/>
      <c r="V69" s="954"/>
      <c r="W69" s="954"/>
      <c r="X69" s="954"/>
      <c r="Y69" s="954"/>
      <c r="Z69" s="954"/>
      <c r="AA69" s="954"/>
      <c r="AB69" s="954"/>
      <c r="AC69" s="954"/>
      <c r="AD69" s="954"/>
      <c r="AE69" s="954"/>
      <c r="AF69" s="954"/>
      <c r="AG69" s="954"/>
      <c r="AH69" s="954"/>
      <c r="AI69" s="954"/>
      <c r="AJ69" s="954"/>
      <c r="AK69" s="954"/>
      <c r="AL69" s="954"/>
      <c r="AM69" s="954"/>
      <c r="AN69" s="954"/>
      <c r="AO69" s="954"/>
      <c r="AP69" s="954"/>
      <c r="AQ69" s="954"/>
      <c r="AR69" s="954"/>
      <c r="AS69" s="954"/>
    </row>
    <row r="70" spans="1:45">
      <c r="A70" s="954"/>
      <c r="B70" s="954"/>
      <c r="C70" s="954"/>
      <c r="D70" s="954"/>
      <c r="E70" s="954"/>
      <c r="F70" s="954"/>
      <c r="G70" s="954"/>
      <c r="H70" s="954"/>
      <c r="I70" s="954"/>
      <c r="J70" s="954"/>
      <c r="K70" s="954"/>
      <c r="L70" s="954"/>
      <c r="M70" s="954"/>
      <c r="N70" s="954"/>
      <c r="O70" s="954"/>
      <c r="P70" s="954"/>
      <c r="Q70" s="954"/>
      <c r="R70" s="954"/>
      <c r="S70" s="954"/>
      <c r="T70" s="954"/>
      <c r="U70" s="954"/>
      <c r="V70" s="954"/>
      <c r="W70" s="954"/>
      <c r="X70" s="954"/>
      <c r="Y70" s="954"/>
      <c r="Z70" s="954"/>
      <c r="AA70" s="954"/>
      <c r="AB70" s="954"/>
      <c r="AC70" s="954"/>
      <c r="AD70" s="954"/>
      <c r="AE70" s="954"/>
      <c r="AF70" s="954"/>
      <c r="AG70" s="954"/>
      <c r="AH70" s="954"/>
      <c r="AI70" s="954"/>
      <c r="AJ70" s="954"/>
      <c r="AK70" s="954"/>
      <c r="AL70" s="954"/>
      <c r="AM70" s="954"/>
      <c r="AN70" s="954"/>
      <c r="AO70" s="954"/>
      <c r="AP70" s="954"/>
      <c r="AQ70" s="954"/>
      <c r="AR70" s="954"/>
      <c r="AS70" s="954"/>
    </row>
    <row r="71" spans="1:45">
      <c r="A71" s="954"/>
      <c r="B71" s="954"/>
      <c r="C71" s="954"/>
      <c r="D71" s="954"/>
      <c r="E71" s="954"/>
      <c r="F71" s="954"/>
      <c r="G71" s="954"/>
      <c r="H71" s="954"/>
      <c r="I71" s="954"/>
      <c r="J71" s="954"/>
      <c r="K71" s="954"/>
      <c r="L71" s="954"/>
      <c r="M71" s="954"/>
      <c r="N71" s="954"/>
      <c r="O71" s="954"/>
      <c r="P71" s="954"/>
      <c r="Q71" s="954"/>
      <c r="R71" s="954"/>
      <c r="S71" s="954"/>
      <c r="T71" s="954"/>
      <c r="U71" s="954"/>
      <c r="V71" s="954"/>
      <c r="W71" s="954"/>
      <c r="X71" s="954"/>
      <c r="Y71" s="954"/>
      <c r="Z71" s="954"/>
      <c r="AA71" s="954"/>
      <c r="AB71" s="954"/>
      <c r="AC71" s="954"/>
      <c r="AD71" s="954"/>
      <c r="AE71" s="954"/>
      <c r="AF71" s="954"/>
      <c r="AG71" s="954"/>
      <c r="AH71" s="954"/>
      <c r="AI71" s="954"/>
      <c r="AJ71" s="954"/>
      <c r="AK71" s="954"/>
      <c r="AL71" s="954"/>
      <c r="AM71" s="954"/>
      <c r="AN71" s="954"/>
      <c r="AO71" s="954"/>
      <c r="AP71" s="954"/>
      <c r="AQ71" s="954"/>
      <c r="AR71" s="954"/>
      <c r="AS71" s="954"/>
    </row>
    <row r="72" spans="1:45">
      <c r="A72" s="954"/>
      <c r="B72" s="954"/>
      <c r="C72" s="954"/>
      <c r="D72" s="954"/>
      <c r="E72" s="954"/>
      <c r="F72" s="954"/>
      <c r="G72" s="954"/>
      <c r="H72" s="954"/>
      <c r="I72" s="954"/>
      <c r="J72" s="954"/>
      <c r="K72" s="954"/>
      <c r="L72" s="954"/>
      <c r="M72" s="954"/>
      <c r="N72" s="954"/>
      <c r="O72" s="954"/>
      <c r="P72" s="954"/>
      <c r="Q72" s="954"/>
      <c r="R72" s="954"/>
      <c r="S72" s="954"/>
      <c r="T72" s="954"/>
      <c r="U72" s="954"/>
      <c r="V72" s="954"/>
      <c r="W72" s="954"/>
      <c r="X72" s="954"/>
      <c r="Y72" s="954"/>
      <c r="Z72" s="954"/>
      <c r="AA72" s="954"/>
      <c r="AB72" s="954"/>
      <c r="AC72" s="954"/>
      <c r="AD72" s="954"/>
      <c r="AE72" s="954"/>
      <c r="AF72" s="954"/>
      <c r="AG72" s="954"/>
      <c r="AH72" s="954"/>
      <c r="AI72" s="954"/>
      <c r="AJ72" s="954"/>
      <c r="AK72" s="954"/>
      <c r="AL72" s="954"/>
      <c r="AM72" s="954"/>
      <c r="AN72" s="954"/>
      <c r="AO72" s="954"/>
      <c r="AP72" s="954"/>
      <c r="AQ72" s="954"/>
      <c r="AR72" s="954"/>
      <c r="AS72" s="954"/>
    </row>
    <row r="73" spans="1:45">
      <c r="A73" s="954"/>
      <c r="B73" s="954"/>
      <c r="C73" s="954"/>
      <c r="D73" s="954"/>
      <c r="E73" s="954"/>
      <c r="F73" s="954"/>
      <c r="G73" s="954"/>
      <c r="H73" s="954"/>
      <c r="I73" s="954"/>
      <c r="J73" s="954"/>
      <c r="K73" s="954"/>
      <c r="L73" s="954"/>
      <c r="M73" s="954"/>
      <c r="N73" s="954"/>
      <c r="O73" s="954"/>
      <c r="P73" s="954"/>
      <c r="Q73" s="954"/>
      <c r="R73" s="954"/>
      <c r="S73" s="954"/>
      <c r="T73" s="954"/>
      <c r="U73" s="954"/>
      <c r="V73" s="954"/>
      <c r="W73" s="954"/>
      <c r="X73" s="954"/>
      <c r="Y73" s="954"/>
      <c r="Z73" s="954"/>
      <c r="AA73" s="954"/>
      <c r="AB73" s="954"/>
      <c r="AC73" s="954"/>
      <c r="AD73" s="954"/>
      <c r="AE73" s="954"/>
      <c r="AF73" s="954"/>
      <c r="AG73" s="954"/>
      <c r="AH73" s="954"/>
      <c r="AI73" s="954"/>
      <c r="AJ73" s="954"/>
      <c r="AK73" s="954"/>
      <c r="AL73" s="954"/>
      <c r="AM73" s="954"/>
      <c r="AN73" s="954"/>
      <c r="AO73" s="954"/>
      <c r="AP73" s="954"/>
      <c r="AQ73" s="954"/>
      <c r="AR73" s="954"/>
      <c r="AS73" s="954"/>
    </row>
    <row r="74" spans="1:45">
      <c r="A74" s="954"/>
      <c r="B74" s="954"/>
      <c r="C74" s="954"/>
      <c r="D74" s="954"/>
      <c r="E74" s="954"/>
      <c r="F74" s="954"/>
      <c r="G74" s="954"/>
      <c r="H74" s="954"/>
      <c r="I74" s="954"/>
      <c r="J74" s="954"/>
      <c r="K74" s="954"/>
      <c r="L74" s="954"/>
      <c r="M74" s="954"/>
      <c r="N74" s="954"/>
      <c r="O74" s="954"/>
      <c r="P74" s="954"/>
      <c r="Q74" s="954"/>
      <c r="R74" s="954"/>
      <c r="S74" s="954"/>
      <c r="T74" s="954"/>
      <c r="U74" s="954"/>
      <c r="V74" s="954"/>
      <c r="W74" s="954"/>
      <c r="X74" s="954"/>
      <c r="Y74" s="954"/>
      <c r="Z74" s="954"/>
      <c r="AA74" s="954"/>
      <c r="AB74" s="954"/>
      <c r="AC74" s="954"/>
      <c r="AD74" s="954"/>
      <c r="AE74" s="954"/>
      <c r="AF74" s="954"/>
      <c r="AG74" s="954"/>
      <c r="AH74" s="954"/>
      <c r="AI74" s="954"/>
      <c r="AJ74" s="954"/>
      <c r="AK74" s="954"/>
      <c r="AL74" s="954"/>
      <c r="AM74" s="954"/>
      <c r="AN74" s="954"/>
      <c r="AO74" s="954"/>
      <c r="AP74" s="954"/>
      <c r="AQ74" s="954"/>
      <c r="AR74" s="954"/>
      <c r="AS74" s="954"/>
    </row>
    <row r="75" spans="1:45">
      <c r="A75" s="954"/>
      <c r="B75" s="954"/>
      <c r="C75" s="954"/>
      <c r="D75" s="954"/>
      <c r="E75" s="954"/>
      <c r="F75" s="954"/>
      <c r="G75" s="954"/>
      <c r="H75" s="954"/>
      <c r="I75" s="954"/>
      <c r="J75" s="954"/>
      <c r="K75" s="954"/>
      <c r="L75" s="954"/>
      <c r="M75" s="954"/>
      <c r="N75" s="954"/>
      <c r="O75" s="954"/>
      <c r="P75" s="954"/>
      <c r="Q75" s="954"/>
      <c r="R75" s="954"/>
      <c r="S75" s="954"/>
      <c r="T75" s="954"/>
      <c r="U75" s="954"/>
      <c r="V75" s="954"/>
      <c r="W75" s="954"/>
      <c r="X75" s="954"/>
      <c r="Y75" s="954"/>
      <c r="Z75" s="954"/>
      <c r="AA75" s="954"/>
      <c r="AB75" s="954"/>
      <c r="AC75" s="954"/>
      <c r="AD75" s="954"/>
      <c r="AE75" s="954"/>
      <c r="AF75" s="954"/>
      <c r="AG75" s="954"/>
      <c r="AH75" s="954"/>
      <c r="AI75" s="954"/>
      <c r="AJ75" s="954"/>
      <c r="AK75" s="954"/>
      <c r="AL75" s="954"/>
      <c r="AM75" s="954"/>
      <c r="AN75" s="954"/>
      <c r="AO75" s="954"/>
      <c r="AP75" s="954"/>
      <c r="AQ75" s="954"/>
      <c r="AR75" s="954"/>
      <c r="AS75" s="954"/>
    </row>
    <row r="76" spans="1:45">
      <c r="A76" s="954"/>
      <c r="B76" s="954"/>
      <c r="C76" s="954"/>
      <c r="D76" s="954"/>
      <c r="E76" s="954"/>
      <c r="F76" s="954"/>
      <c r="G76" s="954"/>
      <c r="H76" s="954"/>
      <c r="I76" s="954"/>
      <c r="J76" s="954"/>
      <c r="K76" s="954"/>
      <c r="L76" s="954"/>
      <c r="M76" s="954"/>
      <c r="N76" s="954"/>
      <c r="O76" s="954"/>
      <c r="P76" s="954"/>
      <c r="Q76" s="954"/>
      <c r="R76" s="954"/>
      <c r="S76" s="954"/>
      <c r="T76" s="954"/>
      <c r="U76" s="954"/>
      <c r="V76" s="954"/>
      <c r="W76" s="954"/>
      <c r="X76" s="954"/>
      <c r="Y76" s="954"/>
      <c r="Z76" s="954"/>
      <c r="AA76" s="954"/>
      <c r="AB76" s="954"/>
      <c r="AC76" s="954"/>
      <c r="AD76" s="954"/>
      <c r="AE76" s="954"/>
      <c r="AF76" s="954"/>
      <c r="AG76" s="954"/>
      <c r="AH76" s="954"/>
      <c r="AI76" s="954"/>
      <c r="AJ76" s="954"/>
      <c r="AK76" s="954"/>
      <c r="AL76" s="954"/>
      <c r="AM76" s="954"/>
      <c r="AN76" s="954"/>
      <c r="AO76" s="954"/>
      <c r="AP76" s="954"/>
      <c r="AQ76" s="954"/>
      <c r="AR76" s="954"/>
      <c r="AS76" s="954"/>
    </row>
    <row r="77" spans="1:45">
      <c r="A77" s="954"/>
      <c r="B77" s="954"/>
      <c r="C77" s="954"/>
      <c r="D77" s="954"/>
      <c r="E77" s="954"/>
      <c r="F77" s="954"/>
      <c r="G77" s="954"/>
      <c r="H77" s="954"/>
      <c r="I77" s="954"/>
      <c r="J77" s="954"/>
      <c r="K77" s="954"/>
      <c r="L77" s="954"/>
      <c r="M77" s="954"/>
      <c r="N77" s="954"/>
      <c r="O77" s="954"/>
      <c r="P77" s="954"/>
      <c r="Q77" s="954"/>
      <c r="R77" s="954"/>
      <c r="S77" s="954"/>
      <c r="T77" s="954"/>
      <c r="U77" s="954"/>
      <c r="V77" s="954"/>
      <c r="W77" s="954"/>
      <c r="X77" s="954"/>
      <c r="Y77" s="954"/>
      <c r="Z77" s="954"/>
      <c r="AA77" s="954"/>
      <c r="AB77" s="954"/>
      <c r="AC77" s="954"/>
      <c r="AD77" s="954"/>
      <c r="AE77" s="954"/>
      <c r="AF77" s="954"/>
      <c r="AG77" s="954"/>
      <c r="AH77" s="954"/>
      <c r="AI77" s="954"/>
      <c r="AJ77" s="954"/>
      <c r="AK77" s="954"/>
      <c r="AL77" s="954"/>
      <c r="AM77" s="954"/>
      <c r="AN77" s="954"/>
      <c r="AO77" s="954"/>
      <c r="AP77" s="954"/>
      <c r="AQ77" s="954"/>
      <c r="AR77" s="954"/>
      <c r="AS77" s="954"/>
    </row>
    <row r="78" spans="1:45">
      <c r="A78" s="954"/>
      <c r="B78" s="954"/>
      <c r="C78" s="954"/>
      <c r="D78" s="954"/>
      <c r="E78" s="954"/>
      <c r="F78" s="954"/>
      <c r="G78" s="954"/>
      <c r="H78" s="954"/>
      <c r="I78" s="954"/>
      <c r="J78" s="954"/>
      <c r="K78" s="954"/>
      <c r="L78" s="954"/>
      <c r="M78" s="954"/>
      <c r="N78" s="954"/>
      <c r="O78" s="954"/>
      <c r="P78" s="954"/>
      <c r="Q78" s="954"/>
      <c r="R78" s="954"/>
      <c r="S78" s="954"/>
      <c r="T78" s="954"/>
      <c r="U78" s="954"/>
      <c r="V78" s="954"/>
      <c r="W78" s="954"/>
      <c r="X78" s="954"/>
      <c r="Y78" s="954"/>
      <c r="Z78" s="954"/>
      <c r="AA78" s="954"/>
      <c r="AB78" s="954"/>
      <c r="AC78" s="954"/>
      <c r="AD78" s="954"/>
      <c r="AE78" s="954"/>
      <c r="AF78" s="954"/>
      <c r="AG78" s="954"/>
      <c r="AH78" s="954"/>
      <c r="AI78" s="954"/>
      <c r="AJ78" s="954"/>
      <c r="AK78" s="954"/>
      <c r="AL78" s="954"/>
      <c r="AM78" s="954"/>
      <c r="AN78" s="954"/>
      <c r="AO78" s="954"/>
      <c r="AP78" s="954"/>
      <c r="AQ78" s="954"/>
      <c r="AR78" s="954"/>
      <c r="AS78" s="954"/>
    </row>
    <row r="79" spans="1:45">
      <c r="A79" s="954"/>
      <c r="B79" s="954"/>
      <c r="C79" s="954"/>
      <c r="D79" s="954"/>
      <c r="E79" s="954"/>
      <c r="F79" s="954"/>
      <c r="G79" s="954"/>
      <c r="H79" s="954"/>
      <c r="I79" s="954"/>
      <c r="J79" s="954"/>
      <c r="K79" s="954"/>
      <c r="L79" s="954"/>
      <c r="M79" s="954"/>
      <c r="N79" s="954"/>
      <c r="O79" s="954"/>
      <c r="P79" s="954"/>
      <c r="Q79" s="954"/>
      <c r="R79" s="954"/>
      <c r="S79" s="954"/>
      <c r="T79" s="954"/>
      <c r="U79" s="954"/>
      <c r="V79" s="954"/>
      <c r="W79" s="954"/>
      <c r="X79" s="954"/>
      <c r="Y79" s="954"/>
      <c r="Z79" s="954"/>
      <c r="AA79" s="954"/>
      <c r="AB79" s="954"/>
      <c r="AC79" s="954"/>
      <c r="AD79" s="954"/>
      <c r="AE79" s="954"/>
      <c r="AF79" s="954"/>
      <c r="AG79" s="954"/>
      <c r="AH79" s="954"/>
      <c r="AI79" s="954"/>
      <c r="AJ79" s="954"/>
      <c r="AK79" s="954"/>
      <c r="AL79" s="954"/>
      <c r="AM79" s="954"/>
      <c r="AN79" s="954"/>
      <c r="AO79" s="954"/>
      <c r="AP79" s="954"/>
      <c r="AQ79" s="954"/>
      <c r="AR79" s="954"/>
      <c r="AS79" s="954"/>
    </row>
    <row r="80" spans="1:45">
      <c r="A80" s="954"/>
      <c r="B80" s="954"/>
      <c r="C80" s="954"/>
      <c r="D80" s="954"/>
      <c r="E80" s="954"/>
      <c r="F80" s="954"/>
      <c r="G80" s="954"/>
      <c r="H80" s="954"/>
      <c r="I80" s="954"/>
      <c r="J80" s="954"/>
      <c r="K80" s="954"/>
      <c r="L80" s="954"/>
      <c r="M80" s="954"/>
      <c r="N80" s="954"/>
      <c r="O80" s="954"/>
      <c r="P80" s="954"/>
      <c r="Q80" s="954"/>
      <c r="R80" s="954"/>
      <c r="S80" s="954"/>
      <c r="T80" s="954"/>
      <c r="U80" s="954"/>
      <c r="V80" s="954"/>
      <c r="W80" s="954"/>
      <c r="X80" s="954"/>
      <c r="Y80" s="954"/>
      <c r="Z80" s="954"/>
      <c r="AA80" s="954"/>
      <c r="AB80" s="954"/>
      <c r="AC80" s="954"/>
      <c r="AD80" s="954"/>
      <c r="AE80" s="954"/>
      <c r="AF80" s="954"/>
      <c r="AG80" s="954"/>
      <c r="AH80" s="954"/>
      <c r="AI80" s="954"/>
      <c r="AJ80" s="954"/>
      <c r="AK80" s="954"/>
      <c r="AL80" s="954"/>
      <c r="AM80" s="954"/>
      <c r="AN80" s="954"/>
      <c r="AO80" s="954"/>
      <c r="AP80" s="954"/>
      <c r="AQ80" s="954"/>
      <c r="AR80" s="954"/>
      <c r="AS80" s="954"/>
    </row>
    <row r="81" spans="1:45">
      <c r="A81" s="954"/>
      <c r="B81" s="954"/>
      <c r="C81" s="954"/>
      <c r="D81" s="954"/>
      <c r="E81" s="954"/>
      <c r="F81" s="954"/>
      <c r="G81" s="954"/>
      <c r="H81" s="954"/>
      <c r="I81" s="954"/>
      <c r="J81" s="954"/>
      <c r="K81" s="954"/>
      <c r="L81" s="954"/>
      <c r="M81" s="954"/>
      <c r="N81" s="954"/>
      <c r="O81" s="954"/>
      <c r="P81" s="954"/>
      <c r="Q81" s="954"/>
      <c r="R81" s="954"/>
      <c r="S81" s="954"/>
      <c r="T81" s="954"/>
      <c r="U81" s="954"/>
      <c r="V81" s="954"/>
      <c r="W81" s="954"/>
      <c r="X81" s="954"/>
      <c r="Y81" s="954"/>
      <c r="Z81" s="954"/>
      <c r="AA81" s="954"/>
      <c r="AB81" s="954"/>
      <c r="AC81" s="954"/>
      <c r="AD81" s="954"/>
      <c r="AE81" s="954"/>
      <c r="AF81" s="954"/>
      <c r="AG81" s="954"/>
      <c r="AH81" s="954"/>
      <c r="AI81" s="954"/>
      <c r="AJ81" s="954"/>
      <c r="AK81" s="954"/>
      <c r="AL81" s="954"/>
      <c r="AM81" s="954"/>
      <c r="AN81" s="954"/>
      <c r="AO81" s="954"/>
      <c r="AP81" s="954"/>
      <c r="AQ81" s="954"/>
      <c r="AR81" s="954"/>
      <c r="AS81" s="954"/>
    </row>
    <row r="82" spans="1:45">
      <c r="A82" s="954"/>
      <c r="B82" s="954"/>
      <c r="C82" s="954"/>
      <c r="D82" s="954"/>
      <c r="E82" s="954"/>
      <c r="F82" s="954"/>
      <c r="G82" s="954"/>
      <c r="H82" s="954"/>
      <c r="I82" s="954"/>
      <c r="J82" s="954"/>
      <c r="K82" s="954"/>
      <c r="L82" s="954"/>
      <c r="M82" s="954"/>
      <c r="N82" s="954"/>
      <c r="O82" s="954"/>
      <c r="P82" s="954"/>
      <c r="Q82" s="954"/>
      <c r="R82" s="954"/>
      <c r="S82" s="954"/>
      <c r="T82" s="954"/>
      <c r="U82" s="954"/>
      <c r="V82" s="954"/>
      <c r="W82" s="954"/>
      <c r="X82" s="954"/>
      <c r="Y82" s="954"/>
      <c r="Z82" s="954"/>
      <c r="AA82" s="954"/>
      <c r="AB82" s="954"/>
      <c r="AC82" s="954"/>
      <c r="AD82" s="954"/>
      <c r="AE82" s="954"/>
      <c r="AF82" s="954"/>
      <c r="AG82" s="954"/>
      <c r="AH82" s="954"/>
      <c r="AI82" s="954"/>
      <c r="AJ82" s="954"/>
      <c r="AK82" s="954"/>
      <c r="AL82" s="954"/>
      <c r="AM82" s="954"/>
      <c r="AN82" s="954"/>
      <c r="AO82" s="954"/>
      <c r="AP82" s="954"/>
      <c r="AQ82" s="954"/>
      <c r="AR82" s="954"/>
      <c r="AS82" s="954"/>
    </row>
    <row r="83" spans="1:45">
      <c r="A83" s="954"/>
      <c r="B83" s="954"/>
      <c r="C83" s="954"/>
      <c r="D83" s="954"/>
      <c r="E83" s="954"/>
      <c r="F83" s="954"/>
      <c r="G83" s="954"/>
      <c r="H83" s="954"/>
      <c r="I83" s="954"/>
      <c r="J83" s="954"/>
      <c r="K83" s="954"/>
      <c r="L83" s="954"/>
      <c r="M83" s="954"/>
      <c r="N83" s="954"/>
      <c r="O83" s="954"/>
      <c r="P83" s="954"/>
      <c r="Q83" s="954"/>
      <c r="R83" s="954"/>
      <c r="S83" s="954"/>
      <c r="T83" s="954"/>
      <c r="U83" s="954"/>
      <c r="V83" s="954"/>
      <c r="W83" s="954"/>
      <c r="X83" s="954"/>
      <c r="Y83" s="954"/>
      <c r="Z83" s="954"/>
      <c r="AA83" s="954"/>
      <c r="AB83" s="954"/>
      <c r="AC83" s="954"/>
      <c r="AD83" s="954"/>
      <c r="AE83" s="954"/>
      <c r="AF83" s="954"/>
      <c r="AG83" s="954"/>
      <c r="AH83" s="954"/>
      <c r="AI83" s="954"/>
      <c r="AJ83" s="954"/>
      <c r="AK83" s="954"/>
      <c r="AL83" s="954"/>
      <c r="AM83" s="954"/>
      <c r="AN83" s="954"/>
      <c r="AO83" s="954"/>
      <c r="AP83" s="954"/>
      <c r="AQ83" s="954"/>
      <c r="AR83" s="954"/>
      <c r="AS83" s="954"/>
    </row>
    <row r="84" spans="1:45">
      <c r="A84" s="954"/>
      <c r="B84" s="954"/>
      <c r="C84" s="954"/>
      <c r="D84" s="954"/>
      <c r="E84" s="954"/>
      <c r="F84" s="954"/>
      <c r="G84" s="954"/>
      <c r="H84" s="954"/>
      <c r="I84" s="954"/>
      <c r="J84" s="954"/>
      <c r="K84" s="954"/>
      <c r="L84" s="954"/>
      <c r="M84" s="954"/>
      <c r="N84" s="954"/>
      <c r="O84" s="954"/>
      <c r="P84" s="954"/>
      <c r="Q84" s="954"/>
      <c r="R84" s="954"/>
      <c r="S84" s="954"/>
      <c r="T84" s="954"/>
      <c r="U84" s="954"/>
      <c r="V84" s="954"/>
      <c r="W84" s="954"/>
      <c r="X84" s="954"/>
      <c r="Y84" s="954"/>
      <c r="Z84" s="954"/>
      <c r="AA84" s="954"/>
      <c r="AB84" s="954"/>
      <c r="AC84" s="954"/>
      <c r="AD84" s="954"/>
      <c r="AE84" s="954"/>
      <c r="AF84" s="954"/>
      <c r="AG84" s="954"/>
      <c r="AH84" s="954"/>
      <c r="AI84" s="954"/>
      <c r="AJ84" s="954"/>
      <c r="AK84" s="954"/>
      <c r="AL84" s="954"/>
      <c r="AM84" s="954"/>
      <c r="AN84" s="954"/>
      <c r="AO84" s="954"/>
      <c r="AP84" s="954"/>
      <c r="AQ84" s="954"/>
      <c r="AR84" s="954"/>
      <c r="AS84" s="954"/>
    </row>
    <row r="85" spans="1:45">
      <c r="A85" s="954"/>
      <c r="B85" s="954"/>
      <c r="C85" s="954"/>
      <c r="D85" s="954"/>
      <c r="E85" s="954"/>
      <c r="F85" s="954"/>
      <c r="G85" s="954"/>
      <c r="H85" s="954"/>
      <c r="I85" s="954"/>
      <c r="J85" s="954"/>
      <c r="K85" s="954"/>
      <c r="L85" s="954"/>
      <c r="M85" s="954"/>
      <c r="N85" s="954"/>
      <c r="O85" s="954"/>
      <c r="P85" s="954"/>
      <c r="Q85" s="954"/>
      <c r="R85" s="954"/>
      <c r="S85" s="954"/>
      <c r="T85" s="954"/>
      <c r="U85" s="954"/>
      <c r="V85" s="954"/>
      <c r="W85" s="954"/>
      <c r="X85" s="954"/>
      <c r="Y85" s="954"/>
      <c r="Z85" s="954"/>
      <c r="AA85" s="954"/>
      <c r="AB85" s="954"/>
      <c r="AC85" s="954"/>
      <c r="AD85" s="954"/>
      <c r="AE85" s="954"/>
      <c r="AF85" s="954"/>
      <c r="AG85" s="954"/>
      <c r="AH85" s="954"/>
      <c r="AI85" s="954"/>
      <c r="AJ85" s="954"/>
      <c r="AK85" s="954"/>
      <c r="AL85" s="954"/>
      <c r="AM85" s="954"/>
      <c r="AN85" s="954"/>
      <c r="AO85" s="954"/>
      <c r="AP85" s="954"/>
      <c r="AQ85" s="954"/>
      <c r="AR85" s="954"/>
      <c r="AS85" s="954"/>
    </row>
    <row r="86" spans="1:45">
      <c r="A86" s="954"/>
      <c r="B86" s="954"/>
      <c r="C86" s="954"/>
      <c r="D86" s="954"/>
      <c r="E86" s="954"/>
      <c r="F86" s="954"/>
      <c r="G86" s="954"/>
      <c r="H86" s="954"/>
      <c r="I86" s="954"/>
      <c r="J86" s="954"/>
      <c r="K86" s="954"/>
      <c r="L86" s="954"/>
      <c r="M86" s="954"/>
      <c r="N86" s="954"/>
      <c r="O86" s="954"/>
      <c r="P86" s="954"/>
      <c r="Q86" s="954"/>
      <c r="R86" s="954"/>
      <c r="S86" s="954"/>
      <c r="T86" s="954"/>
      <c r="U86" s="954"/>
      <c r="V86" s="954"/>
      <c r="W86" s="954"/>
      <c r="X86" s="954"/>
      <c r="Y86" s="954"/>
      <c r="Z86" s="954"/>
      <c r="AA86" s="954"/>
      <c r="AB86" s="954"/>
      <c r="AC86" s="954"/>
      <c r="AD86" s="954"/>
      <c r="AE86" s="954"/>
      <c r="AF86" s="954"/>
      <c r="AG86" s="954"/>
      <c r="AH86" s="954"/>
      <c r="AI86" s="954"/>
      <c r="AJ86" s="954"/>
      <c r="AK86" s="954"/>
      <c r="AL86" s="954"/>
      <c r="AM86" s="954"/>
      <c r="AN86" s="954"/>
      <c r="AO86" s="954"/>
      <c r="AP86" s="954"/>
      <c r="AQ86" s="954"/>
      <c r="AR86" s="954"/>
      <c r="AS86" s="954"/>
    </row>
    <row r="87" spans="1:45">
      <c r="A87" s="954"/>
      <c r="B87" s="954"/>
      <c r="C87" s="954"/>
      <c r="D87" s="954"/>
      <c r="E87" s="954"/>
      <c r="F87" s="954"/>
      <c r="G87" s="954"/>
      <c r="H87" s="954"/>
      <c r="I87" s="954"/>
      <c r="J87" s="954"/>
      <c r="K87" s="954"/>
      <c r="L87" s="954"/>
      <c r="M87" s="954"/>
      <c r="N87" s="954"/>
      <c r="O87" s="954"/>
      <c r="P87" s="954"/>
      <c r="Q87" s="954"/>
      <c r="R87" s="954"/>
      <c r="S87" s="954"/>
      <c r="T87" s="954"/>
      <c r="U87" s="954"/>
      <c r="V87" s="954"/>
      <c r="W87" s="954"/>
      <c r="X87" s="954"/>
      <c r="Y87" s="954"/>
      <c r="Z87" s="954"/>
      <c r="AA87" s="954"/>
      <c r="AB87" s="954"/>
      <c r="AC87" s="954"/>
      <c r="AD87" s="954"/>
      <c r="AE87" s="954"/>
      <c r="AF87" s="954"/>
      <c r="AG87" s="954"/>
      <c r="AH87" s="954"/>
      <c r="AI87" s="954"/>
      <c r="AJ87" s="954"/>
      <c r="AK87" s="954"/>
      <c r="AL87" s="954"/>
      <c r="AM87" s="954"/>
      <c r="AN87" s="954"/>
      <c r="AO87" s="954"/>
      <c r="AP87" s="954"/>
      <c r="AQ87" s="954"/>
      <c r="AR87" s="954"/>
      <c r="AS87" s="954"/>
    </row>
    <row r="88" spans="1:45">
      <c r="A88" s="954"/>
      <c r="B88" s="954"/>
      <c r="C88" s="954"/>
      <c r="D88" s="954"/>
      <c r="E88" s="954"/>
      <c r="F88" s="954"/>
      <c r="G88" s="954"/>
      <c r="H88" s="954"/>
      <c r="I88" s="954"/>
      <c r="J88" s="954"/>
      <c r="K88" s="954"/>
      <c r="L88" s="954"/>
      <c r="M88" s="954"/>
      <c r="N88" s="954"/>
      <c r="O88" s="954"/>
      <c r="P88" s="954"/>
      <c r="Q88" s="954"/>
      <c r="R88" s="954"/>
      <c r="S88" s="954"/>
      <c r="T88" s="954"/>
      <c r="U88" s="954"/>
      <c r="V88" s="954"/>
      <c r="W88" s="954"/>
      <c r="X88" s="954"/>
      <c r="Y88" s="954"/>
      <c r="Z88" s="954"/>
      <c r="AA88" s="954"/>
      <c r="AB88" s="954"/>
      <c r="AC88" s="954"/>
      <c r="AD88" s="954"/>
      <c r="AE88" s="954"/>
      <c r="AF88" s="954"/>
      <c r="AG88" s="954"/>
      <c r="AH88" s="954"/>
      <c r="AI88" s="954"/>
      <c r="AJ88" s="954"/>
      <c r="AK88" s="954"/>
      <c r="AL88" s="954"/>
      <c r="AM88" s="954"/>
      <c r="AN88" s="954"/>
      <c r="AO88" s="954"/>
      <c r="AP88" s="954"/>
      <c r="AQ88" s="954"/>
      <c r="AR88" s="954"/>
      <c r="AS88" s="954"/>
    </row>
    <row r="89" spans="1:45">
      <c r="A89" s="954"/>
      <c r="B89" s="954"/>
      <c r="C89" s="954"/>
      <c r="D89" s="954"/>
      <c r="E89" s="954"/>
      <c r="F89" s="954"/>
      <c r="G89" s="954"/>
      <c r="H89" s="954"/>
      <c r="I89" s="954"/>
      <c r="J89" s="954"/>
      <c r="K89" s="954"/>
      <c r="L89" s="954"/>
      <c r="M89" s="954"/>
      <c r="N89" s="954"/>
      <c r="O89" s="954"/>
      <c r="P89" s="954"/>
      <c r="Q89" s="954"/>
      <c r="R89" s="954"/>
      <c r="S89" s="954"/>
      <c r="T89" s="954"/>
      <c r="U89" s="954"/>
      <c r="V89" s="954"/>
      <c r="W89" s="954"/>
      <c r="X89" s="954"/>
      <c r="Y89" s="954"/>
      <c r="Z89" s="954"/>
      <c r="AA89" s="954"/>
      <c r="AB89" s="954"/>
      <c r="AC89" s="954"/>
      <c r="AD89" s="954"/>
      <c r="AE89" s="954"/>
      <c r="AF89" s="954"/>
      <c r="AG89" s="954"/>
      <c r="AH89" s="954"/>
      <c r="AI89" s="954"/>
      <c r="AJ89" s="954"/>
      <c r="AK89" s="954"/>
      <c r="AL89" s="954"/>
      <c r="AM89" s="954"/>
      <c r="AN89" s="954"/>
      <c r="AO89" s="954"/>
      <c r="AP89" s="954"/>
      <c r="AQ89" s="954"/>
      <c r="AR89" s="954"/>
      <c r="AS89" s="954"/>
    </row>
    <row r="90" spans="1:45">
      <c r="A90" s="954"/>
      <c r="B90" s="954"/>
      <c r="C90" s="954"/>
      <c r="D90" s="954"/>
      <c r="E90" s="954"/>
      <c r="F90" s="954"/>
      <c r="G90" s="954"/>
      <c r="H90" s="954"/>
      <c r="I90" s="954"/>
      <c r="J90" s="954"/>
      <c r="K90" s="954"/>
      <c r="L90" s="954"/>
      <c r="M90" s="954"/>
      <c r="N90" s="954"/>
      <c r="O90" s="954"/>
      <c r="P90" s="954"/>
      <c r="Q90" s="954"/>
      <c r="R90" s="954"/>
      <c r="S90" s="954"/>
      <c r="T90" s="954"/>
      <c r="U90" s="954"/>
      <c r="V90" s="954"/>
      <c r="W90" s="954"/>
      <c r="X90" s="954"/>
      <c r="Y90" s="954"/>
      <c r="Z90" s="954"/>
      <c r="AA90" s="954"/>
      <c r="AB90" s="954"/>
      <c r="AC90" s="954"/>
      <c r="AD90" s="954"/>
      <c r="AE90" s="954"/>
      <c r="AF90" s="954"/>
      <c r="AG90" s="954"/>
      <c r="AH90" s="954"/>
      <c r="AI90" s="954"/>
      <c r="AJ90" s="954"/>
      <c r="AK90" s="954"/>
      <c r="AL90" s="954"/>
      <c r="AM90" s="954"/>
      <c r="AN90" s="954"/>
      <c r="AO90" s="954"/>
      <c r="AP90" s="954"/>
      <c r="AQ90" s="954"/>
      <c r="AR90" s="954"/>
      <c r="AS90" s="954"/>
    </row>
    <row r="91" spans="1:45">
      <c r="A91" s="954"/>
      <c r="B91" s="954"/>
      <c r="C91" s="954"/>
      <c r="D91" s="954"/>
      <c r="E91" s="954"/>
      <c r="F91" s="954"/>
      <c r="G91" s="954"/>
      <c r="H91" s="954"/>
      <c r="I91" s="954"/>
      <c r="J91" s="954"/>
      <c r="K91" s="954"/>
      <c r="L91" s="954"/>
      <c r="M91" s="954"/>
      <c r="N91" s="954"/>
      <c r="O91" s="954"/>
      <c r="P91" s="954"/>
      <c r="Q91" s="954"/>
      <c r="R91" s="954"/>
      <c r="S91" s="954"/>
      <c r="T91" s="954"/>
      <c r="U91" s="954"/>
      <c r="V91" s="954"/>
      <c r="W91" s="954"/>
      <c r="X91" s="954"/>
      <c r="Y91" s="954"/>
      <c r="Z91" s="954"/>
      <c r="AA91" s="954"/>
      <c r="AB91" s="954"/>
      <c r="AC91" s="954"/>
      <c r="AD91" s="954"/>
      <c r="AE91" s="954"/>
      <c r="AF91" s="954"/>
      <c r="AG91" s="954"/>
      <c r="AH91" s="954"/>
      <c r="AI91" s="954"/>
      <c r="AJ91" s="954"/>
      <c r="AK91" s="954"/>
      <c r="AL91" s="954"/>
      <c r="AM91" s="954"/>
      <c r="AN91" s="954"/>
      <c r="AO91" s="954"/>
      <c r="AP91" s="954"/>
      <c r="AQ91" s="954"/>
      <c r="AR91" s="954"/>
      <c r="AS91" s="954"/>
    </row>
    <row r="92" spans="1:45">
      <c r="A92" s="954"/>
      <c r="B92" s="954"/>
      <c r="C92" s="954"/>
      <c r="D92" s="954"/>
      <c r="E92" s="954"/>
      <c r="F92" s="954"/>
      <c r="G92" s="954"/>
      <c r="H92" s="954"/>
      <c r="I92" s="954"/>
      <c r="J92" s="954"/>
      <c r="K92" s="954"/>
      <c r="L92" s="954"/>
      <c r="M92" s="954"/>
      <c r="N92" s="954"/>
      <c r="O92" s="954"/>
      <c r="P92" s="954"/>
      <c r="Q92" s="954"/>
      <c r="R92" s="954"/>
      <c r="S92" s="954"/>
      <c r="T92" s="954"/>
      <c r="U92" s="954"/>
      <c r="V92" s="954"/>
      <c r="W92" s="954"/>
      <c r="X92" s="954"/>
      <c r="Y92" s="954"/>
      <c r="Z92" s="954"/>
      <c r="AA92" s="954"/>
      <c r="AB92" s="954"/>
      <c r="AC92" s="954"/>
      <c r="AD92" s="954"/>
      <c r="AE92" s="954"/>
      <c r="AF92" s="954"/>
      <c r="AG92" s="954"/>
      <c r="AH92" s="954"/>
      <c r="AI92" s="954"/>
      <c r="AJ92" s="954"/>
      <c r="AK92" s="954"/>
      <c r="AL92" s="954"/>
      <c r="AM92" s="954"/>
      <c r="AN92" s="954"/>
      <c r="AO92" s="954"/>
      <c r="AP92" s="954"/>
      <c r="AQ92" s="954"/>
      <c r="AR92" s="954"/>
      <c r="AS92" s="954"/>
    </row>
    <row r="93" spans="1:45">
      <c r="A93" s="954"/>
      <c r="B93" s="954"/>
      <c r="C93" s="954"/>
      <c r="D93" s="954"/>
      <c r="E93" s="954"/>
      <c r="F93" s="954"/>
      <c r="G93" s="954"/>
      <c r="H93" s="954"/>
      <c r="I93" s="954"/>
      <c r="J93" s="954"/>
      <c r="K93" s="954"/>
      <c r="L93" s="954"/>
      <c r="M93" s="954"/>
      <c r="N93" s="954"/>
      <c r="O93" s="954"/>
      <c r="P93" s="954"/>
      <c r="Q93" s="954"/>
      <c r="R93" s="954"/>
      <c r="S93" s="954"/>
      <c r="T93" s="954"/>
      <c r="U93" s="954"/>
      <c r="V93" s="954"/>
      <c r="W93" s="954"/>
      <c r="X93" s="954"/>
      <c r="Y93" s="954"/>
      <c r="Z93" s="954"/>
      <c r="AA93" s="954"/>
      <c r="AB93" s="954"/>
      <c r="AC93" s="954"/>
      <c r="AD93" s="954"/>
      <c r="AE93" s="954"/>
      <c r="AF93" s="954"/>
      <c r="AG93" s="954"/>
      <c r="AH93" s="954"/>
      <c r="AI93" s="954"/>
      <c r="AJ93" s="954"/>
      <c r="AK93" s="954"/>
      <c r="AL93" s="954"/>
      <c r="AM93" s="954"/>
      <c r="AN93" s="954"/>
      <c r="AO93" s="954"/>
      <c r="AP93" s="954"/>
      <c r="AQ93" s="954"/>
      <c r="AR93" s="954"/>
      <c r="AS93" s="954"/>
    </row>
    <row r="94" spans="1:45">
      <c r="A94" s="954"/>
      <c r="B94" s="954"/>
      <c r="C94" s="954"/>
      <c r="D94" s="954"/>
      <c r="E94" s="954"/>
      <c r="F94" s="954"/>
      <c r="G94" s="954"/>
      <c r="H94" s="954"/>
      <c r="I94" s="954"/>
      <c r="J94" s="954"/>
      <c r="K94" s="954"/>
      <c r="L94" s="954"/>
      <c r="M94" s="954"/>
      <c r="N94" s="954"/>
      <c r="O94" s="954"/>
      <c r="P94" s="954"/>
      <c r="Q94" s="954"/>
      <c r="R94" s="954"/>
      <c r="S94" s="954"/>
      <c r="T94" s="954"/>
      <c r="U94" s="954"/>
      <c r="V94" s="954"/>
      <c r="W94" s="954"/>
      <c r="X94" s="954"/>
      <c r="Y94" s="954"/>
      <c r="Z94" s="954"/>
      <c r="AA94" s="954"/>
      <c r="AB94" s="954"/>
      <c r="AC94" s="954"/>
      <c r="AD94" s="954"/>
      <c r="AE94" s="954"/>
      <c r="AF94" s="954"/>
      <c r="AG94" s="954"/>
      <c r="AH94" s="954"/>
      <c r="AI94" s="954"/>
      <c r="AJ94" s="954"/>
      <c r="AK94" s="954"/>
      <c r="AL94" s="954"/>
      <c r="AM94" s="954"/>
      <c r="AN94" s="954"/>
      <c r="AO94" s="954"/>
      <c r="AP94" s="954"/>
      <c r="AQ94" s="954"/>
      <c r="AR94" s="954"/>
      <c r="AS94" s="954"/>
    </row>
    <row r="95" spans="1:45">
      <c r="A95" s="954"/>
      <c r="B95" s="954"/>
      <c r="C95" s="954"/>
      <c r="D95" s="954"/>
      <c r="E95" s="954"/>
      <c r="F95" s="954"/>
      <c r="G95" s="954"/>
      <c r="H95" s="954"/>
      <c r="I95" s="954"/>
      <c r="J95" s="954"/>
      <c r="K95" s="954"/>
      <c r="L95" s="954"/>
      <c r="M95" s="954"/>
      <c r="N95" s="954"/>
      <c r="O95" s="954"/>
      <c r="P95" s="954"/>
      <c r="Q95" s="954"/>
      <c r="R95" s="954"/>
      <c r="S95" s="954"/>
      <c r="T95" s="954"/>
      <c r="U95" s="954"/>
      <c r="V95" s="954"/>
      <c r="W95" s="954"/>
      <c r="X95" s="954"/>
      <c r="Y95" s="954"/>
      <c r="Z95" s="954"/>
      <c r="AA95" s="954"/>
      <c r="AB95" s="954"/>
      <c r="AC95" s="954"/>
      <c r="AD95" s="954"/>
      <c r="AE95" s="954"/>
      <c r="AF95" s="954"/>
      <c r="AG95" s="954"/>
      <c r="AH95" s="954"/>
      <c r="AI95" s="954"/>
      <c r="AJ95" s="954"/>
      <c r="AK95" s="954"/>
      <c r="AL95" s="954"/>
      <c r="AM95" s="954"/>
      <c r="AN95" s="954"/>
      <c r="AO95" s="954"/>
      <c r="AP95" s="954"/>
      <c r="AQ95" s="954"/>
      <c r="AR95" s="954"/>
      <c r="AS95" s="954"/>
    </row>
    <row r="96" spans="1:45">
      <c r="A96" s="954"/>
      <c r="B96" s="954"/>
      <c r="C96" s="954"/>
      <c r="D96" s="954"/>
      <c r="E96" s="954"/>
      <c r="F96" s="954"/>
      <c r="G96" s="954"/>
      <c r="H96" s="954"/>
      <c r="I96" s="954"/>
      <c r="J96" s="954"/>
      <c r="K96" s="954"/>
      <c r="L96" s="954"/>
      <c r="M96" s="954"/>
      <c r="N96" s="954"/>
      <c r="O96" s="954"/>
      <c r="P96" s="954"/>
      <c r="Q96" s="954"/>
      <c r="R96" s="954"/>
      <c r="S96" s="954"/>
      <c r="T96" s="954"/>
      <c r="U96" s="954"/>
      <c r="V96" s="954"/>
      <c r="W96" s="954"/>
      <c r="X96" s="954"/>
      <c r="Y96" s="954"/>
      <c r="Z96" s="954"/>
      <c r="AA96" s="954"/>
      <c r="AB96" s="954"/>
      <c r="AC96" s="954"/>
      <c r="AD96" s="954"/>
      <c r="AE96" s="954"/>
      <c r="AF96" s="954"/>
      <c r="AG96" s="954"/>
      <c r="AH96" s="954"/>
      <c r="AI96" s="954"/>
      <c r="AJ96" s="954"/>
      <c r="AK96" s="954"/>
      <c r="AL96" s="954"/>
      <c r="AM96" s="954"/>
      <c r="AN96" s="954"/>
      <c r="AO96" s="954"/>
      <c r="AP96" s="954"/>
      <c r="AQ96" s="954"/>
      <c r="AR96" s="954"/>
      <c r="AS96" s="954"/>
    </row>
    <row r="97" spans="1:45">
      <c r="A97" s="954"/>
      <c r="B97" s="954"/>
      <c r="C97" s="954"/>
      <c r="D97" s="954"/>
      <c r="E97" s="954"/>
      <c r="F97" s="954"/>
      <c r="G97" s="954"/>
      <c r="H97" s="954"/>
      <c r="I97" s="954"/>
      <c r="J97" s="954"/>
      <c r="K97" s="954"/>
      <c r="L97" s="954"/>
      <c r="M97" s="954"/>
      <c r="N97" s="954"/>
      <c r="O97" s="954"/>
      <c r="P97" s="954"/>
      <c r="Q97" s="954"/>
      <c r="R97" s="954"/>
      <c r="S97" s="954"/>
      <c r="T97" s="954"/>
      <c r="U97" s="954"/>
      <c r="V97" s="954"/>
      <c r="W97" s="954"/>
      <c r="X97" s="954"/>
      <c r="Y97" s="954"/>
      <c r="Z97" s="954"/>
      <c r="AA97" s="954"/>
      <c r="AB97" s="954"/>
      <c r="AC97" s="954"/>
      <c r="AD97" s="954"/>
      <c r="AE97" s="954"/>
      <c r="AF97" s="954"/>
      <c r="AG97" s="954"/>
      <c r="AH97" s="954"/>
      <c r="AI97" s="954"/>
      <c r="AJ97" s="954"/>
      <c r="AK97" s="954"/>
      <c r="AL97" s="954"/>
      <c r="AM97" s="954"/>
      <c r="AN97" s="954"/>
      <c r="AO97" s="954"/>
      <c r="AP97" s="954"/>
      <c r="AQ97" s="954"/>
      <c r="AR97" s="954"/>
      <c r="AS97" s="954"/>
    </row>
    <row r="98" spans="1:45">
      <c r="A98" s="954"/>
      <c r="B98" s="954"/>
      <c r="C98" s="954"/>
      <c r="D98" s="954"/>
      <c r="E98" s="954"/>
      <c r="F98" s="954"/>
      <c r="G98" s="954"/>
      <c r="H98" s="954"/>
      <c r="I98" s="954"/>
      <c r="J98" s="954"/>
      <c r="K98" s="954"/>
      <c r="L98" s="954"/>
      <c r="M98" s="954"/>
      <c r="N98" s="954"/>
      <c r="O98" s="954"/>
      <c r="P98" s="954"/>
      <c r="Q98" s="954"/>
      <c r="R98" s="954"/>
      <c r="S98" s="954"/>
      <c r="T98" s="954"/>
      <c r="U98" s="954"/>
      <c r="V98" s="954"/>
      <c r="W98" s="954"/>
      <c r="X98" s="954"/>
      <c r="Y98" s="954"/>
      <c r="Z98" s="954"/>
      <c r="AA98" s="954"/>
      <c r="AB98" s="954"/>
      <c r="AC98" s="954"/>
      <c r="AD98" s="954"/>
      <c r="AE98" s="954"/>
      <c r="AF98" s="954"/>
      <c r="AG98" s="954"/>
      <c r="AH98" s="954"/>
      <c r="AI98" s="954"/>
      <c r="AJ98" s="954"/>
      <c r="AK98" s="954"/>
      <c r="AL98" s="954"/>
      <c r="AM98" s="954"/>
      <c r="AN98" s="954"/>
      <c r="AO98" s="954"/>
      <c r="AP98" s="954"/>
      <c r="AQ98" s="954"/>
      <c r="AR98" s="954"/>
      <c r="AS98" s="954"/>
    </row>
    <row r="99" spans="1:45">
      <c r="A99" s="954"/>
      <c r="B99" s="954"/>
      <c r="C99" s="954"/>
      <c r="D99" s="954"/>
      <c r="E99" s="954"/>
      <c r="F99" s="954"/>
      <c r="G99" s="954"/>
      <c r="H99" s="954"/>
      <c r="I99" s="954"/>
      <c r="J99" s="954"/>
      <c r="K99" s="954"/>
      <c r="L99" s="954"/>
      <c r="M99" s="954"/>
      <c r="N99" s="954"/>
      <c r="O99" s="954"/>
      <c r="P99" s="954"/>
      <c r="Q99" s="954"/>
      <c r="R99" s="954"/>
      <c r="S99" s="954"/>
      <c r="T99" s="954"/>
      <c r="U99" s="954"/>
      <c r="V99" s="954"/>
      <c r="W99" s="954"/>
      <c r="X99" s="954"/>
      <c r="Y99" s="954"/>
      <c r="Z99" s="954"/>
      <c r="AA99" s="954"/>
      <c r="AB99" s="954"/>
      <c r="AC99" s="954"/>
      <c r="AD99" s="954"/>
      <c r="AE99" s="954"/>
      <c r="AF99" s="954"/>
      <c r="AG99" s="954"/>
      <c r="AH99" s="954"/>
      <c r="AI99" s="954"/>
      <c r="AJ99" s="954"/>
      <c r="AK99" s="954"/>
      <c r="AL99" s="954"/>
      <c r="AM99" s="954"/>
      <c r="AN99" s="954"/>
      <c r="AO99" s="954"/>
      <c r="AP99" s="954"/>
      <c r="AQ99" s="954"/>
      <c r="AR99" s="954"/>
      <c r="AS99" s="954"/>
    </row>
    <row r="100" spans="1:45">
      <c r="A100" s="954"/>
      <c r="B100" s="954"/>
      <c r="C100" s="954"/>
      <c r="D100" s="954"/>
      <c r="E100" s="954"/>
      <c r="F100" s="954"/>
      <c r="G100" s="954"/>
      <c r="H100" s="954"/>
      <c r="I100" s="954"/>
      <c r="J100" s="954"/>
      <c r="K100" s="954"/>
      <c r="L100" s="954"/>
      <c r="M100" s="954"/>
      <c r="N100" s="954"/>
      <c r="O100" s="954"/>
      <c r="P100" s="954"/>
      <c r="Q100" s="954"/>
      <c r="R100" s="954"/>
      <c r="S100" s="954"/>
      <c r="T100" s="954"/>
      <c r="U100" s="954"/>
      <c r="V100" s="954"/>
      <c r="W100" s="954"/>
      <c r="X100" s="954"/>
      <c r="Y100" s="954"/>
      <c r="Z100" s="954"/>
      <c r="AA100" s="954"/>
      <c r="AB100" s="954"/>
      <c r="AC100" s="954"/>
      <c r="AD100" s="954"/>
      <c r="AE100" s="954"/>
      <c r="AF100" s="954"/>
      <c r="AG100" s="954"/>
      <c r="AH100" s="954"/>
      <c r="AI100" s="954"/>
      <c r="AJ100" s="954"/>
      <c r="AK100" s="954"/>
      <c r="AL100" s="954"/>
      <c r="AM100" s="954"/>
      <c r="AN100" s="954"/>
      <c r="AO100" s="954"/>
      <c r="AP100" s="954"/>
      <c r="AQ100" s="954"/>
      <c r="AR100" s="954"/>
      <c r="AS100" s="954"/>
    </row>
    <row r="101" spans="1:45">
      <c r="A101" s="954"/>
      <c r="B101" s="954"/>
      <c r="C101" s="954"/>
      <c r="D101" s="954"/>
      <c r="E101" s="954"/>
      <c r="F101" s="954"/>
      <c r="G101" s="954"/>
      <c r="H101" s="954"/>
      <c r="I101" s="954"/>
      <c r="J101" s="954"/>
      <c r="K101" s="954"/>
      <c r="L101" s="954"/>
      <c r="M101" s="954"/>
      <c r="N101" s="954"/>
      <c r="O101" s="954"/>
      <c r="P101" s="954"/>
      <c r="Q101" s="954"/>
      <c r="R101" s="954"/>
      <c r="S101" s="954"/>
      <c r="T101" s="954"/>
      <c r="U101" s="954"/>
      <c r="V101" s="954"/>
      <c r="W101" s="954"/>
      <c r="X101" s="954"/>
      <c r="Y101" s="954"/>
      <c r="Z101" s="954"/>
      <c r="AA101" s="954"/>
      <c r="AB101" s="954"/>
      <c r="AC101" s="954"/>
      <c r="AD101" s="954"/>
      <c r="AE101" s="954"/>
      <c r="AF101" s="954"/>
      <c r="AG101" s="954"/>
      <c r="AH101" s="954"/>
      <c r="AI101" s="954"/>
      <c r="AJ101" s="954"/>
      <c r="AK101" s="954"/>
      <c r="AL101" s="954"/>
      <c r="AM101" s="954"/>
      <c r="AN101" s="954"/>
      <c r="AO101" s="954"/>
      <c r="AP101" s="954"/>
      <c r="AQ101" s="954"/>
      <c r="AR101" s="954"/>
      <c r="AS101" s="954"/>
    </row>
    <row r="102" spans="1:45">
      <c r="A102" s="954"/>
      <c r="B102" s="954"/>
      <c r="C102" s="954"/>
      <c r="D102" s="954"/>
      <c r="E102" s="954"/>
      <c r="F102" s="954"/>
      <c r="G102" s="954"/>
      <c r="H102" s="954"/>
      <c r="I102" s="954"/>
      <c r="J102" s="954"/>
      <c r="K102" s="954"/>
      <c r="L102" s="954"/>
      <c r="M102" s="954"/>
      <c r="N102" s="954"/>
      <c r="O102" s="954"/>
      <c r="P102" s="954"/>
      <c r="Q102" s="954"/>
      <c r="R102" s="954"/>
      <c r="S102" s="954"/>
      <c r="T102" s="954"/>
      <c r="U102" s="954"/>
      <c r="V102" s="954"/>
      <c r="W102" s="954"/>
      <c r="X102" s="954"/>
      <c r="Y102" s="954"/>
      <c r="Z102" s="954"/>
      <c r="AA102" s="954"/>
      <c r="AB102" s="954"/>
      <c r="AC102" s="954"/>
      <c r="AD102" s="954"/>
      <c r="AE102" s="954"/>
      <c r="AF102" s="954"/>
      <c r="AG102" s="954"/>
      <c r="AH102" s="954"/>
      <c r="AI102" s="954"/>
      <c r="AJ102" s="954"/>
      <c r="AK102" s="954"/>
      <c r="AL102" s="954"/>
      <c r="AM102" s="954"/>
      <c r="AN102" s="954"/>
      <c r="AO102" s="954"/>
      <c r="AP102" s="954"/>
      <c r="AQ102" s="954"/>
      <c r="AR102" s="954"/>
      <c r="AS102" s="954"/>
    </row>
    <row r="103" spans="1:45">
      <c r="A103" s="954"/>
      <c r="B103" s="954"/>
      <c r="C103" s="954"/>
      <c r="D103" s="954"/>
      <c r="E103" s="954"/>
      <c r="F103" s="954"/>
      <c r="G103" s="954"/>
      <c r="H103" s="954"/>
      <c r="I103" s="954"/>
      <c r="J103" s="954"/>
      <c r="K103" s="954"/>
      <c r="L103" s="954"/>
      <c r="M103" s="954"/>
      <c r="N103" s="954"/>
      <c r="O103" s="954"/>
      <c r="P103" s="954"/>
      <c r="Q103" s="954"/>
      <c r="R103" s="954"/>
      <c r="S103" s="954"/>
      <c r="T103" s="954"/>
      <c r="U103" s="954"/>
      <c r="V103" s="954"/>
      <c r="W103" s="954"/>
      <c r="X103" s="954"/>
      <c r="Y103" s="954"/>
      <c r="Z103" s="954"/>
      <c r="AA103" s="954"/>
      <c r="AB103" s="954"/>
      <c r="AC103" s="954"/>
      <c r="AD103" s="954"/>
      <c r="AE103" s="954"/>
      <c r="AF103" s="954"/>
      <c r="AG103" s="954"/>
      <c r="AH103" s="954"/>
      <c r="AI103" s="954"/>
      <c r="AJ103" s="954"/>
      <c r="AK103" s="954"/>
      <c r="AL103" s="954"/>
      <c r="AM103" s="954"/>
      <c r="AN103" s="954"/>
      <c r="AO103" s="954"/>
      <c r="AP103" s="954"/>
      <c r="AQ103" s="954"/>
      <c r="AR103" s="954"/>
      <c r="AS103" s="954"/>
    </row>
    <row r="104" spans="1:45">
      <c r="A104" s="954"/>
      <c r="B104" s="954"/>
      <c r="C104" s="954"/>
      <c r="D104" s="954"/>
      <c r="E104" s="954"/>
      <c r="F104" s="954"/>
      <c r="G104" s="954"/>
      <c r="H104" s="954"/>
      <c r="I104" s="954"/>
      <c r="J104" s="954"/>
      <c r="K104" s="954"/>
      <c r="L104" s="954"/>
      <c r="M104" s="954"/>
      <c r="N104" s="954"/>
      <c r="O104" s="954"/>
      <c r="P104" s="954"/>
      <c r="Q104" s="954"/>
      <c r="R104" s="954"/>
      <c r="S104" s="954"/>
      <c r="T104" s="954"/>
      <c r="U104" s="954"/>
      <c r="V104" s="954"/>
      <c r="W104" s="954"/>
      <c r="X104" s="954"/>
      <c r="Y104" s="954"/>
      <c r="Z104" s="954"/>
      <c r="AA104" s="954"/>
      <c r="AB104" s="954"/>
      <c r="AC104" s="954"/>
      <c r="AD104" s="954"/>
      <c r="AE104" s="954"/>
      <c r="AF104" s="954"/>
      <c r="AG104" s="954"/>
      <c r="AH104" s="954"/>
      <c r="AI104" s="954"/>
      <c r="AJ104" s="954"/>
      <c r="AK104" s="954"/>
      <c r="AL104" s="954"/>
      <c r="AM104" s="954"/>
      <c r="AN104" s="954"/>
      <c r="AO104" s="954"/>
      <c r="AP104" s="954"/>
      <c r="AQ104" s="954"/>
      <c r="AR104" s="954"/>
      <c r="AS104" s="954"/>
    </row>
    <row r="105" spans="1:45">
      <c r="A105" s="954"/>
      <c r="B105" s="954"/>
      <c r="C105" s="954"/>
      <c r="D105" s="954"/>
      <c r="E105" s="954"/>
      <c r="F105" s="954"/>
      <c r="G105" s="954"/>
      <c r="H105" s="954"/>
      <c r="I105" s="954"/>
      <c r="J105" s="954"/>
      <c r="K105" s="954"/>
      <c r="L105" s="954"/>
      <c r="M105" s="954"/>
      <c r="N105" s="954"/>
      <c r="O105" s="954"/>
      <c r="P105" s="954"/>
      <c r="Q105" s="954"/>
      <c r="R105" s="954"/>
      <c r="S105" s="954"/>
      <c r="T105" s="954"/>
      <c r="U105" s="954"/>
      <c r="V105" s="954"/>
      <c r="W105" s="954"/>
      <c r="X105" s="954"/>
      <c r="Y105" s="954"/>
      <c r="Z105" s="954"/>
      <c r="AA105" s="954"/>
      <c r="AB105" s="954"/>
      <c r="AC105" s="954"/>
      <c r="AD105" s="954"/>
      <c r="AE105" s="954"/>
      <c r="AF105" s="954"/>
      <c r="AG105" s="954"/>
      <c r="AH105" s="954"/>
      <c r="AI105" s="954"/>
      <c r="AJ105" s="954"/>
      <c r="AK105" s="954"/>
      <c r="AL105" s="954"/>
      <c r="AM105" s="954"/>
      <c r="AN105" s="954"/>
      <c r="AO105" s="954"/>
      <c r="AP105" s="954"/>
      <c r="AQ105" s="954"/>
      <c r="AR105" s="954"/>
      <c r="AS105" s="954"/>
    </row>
    <row r="106" spans="1:45">
      <c r="A106" s="954"/>
      <c r="B106" s="954"/>
      <c r="C106" s="954"/>
      <c r="D106" s="954"/>
      <c r="E106" s="954"/>
      <c r="F106" s="954"/>
      <c r="G106" s="954"/>
      <c r="H106" s="954"/>
      <c r="I106" s="954"/>
      <c r="J106" s="954"/>
      <c r="K106" s="954"/>
      <c r="L106" s="954"/>
      <c r="M106" s="954"/>
      <c r="N106" s="954"/>
      <c r="O106" s="954"/>
      <c r="P106" s="954"/>
      <c r="Q106" s="954"/>
      <c r="R106" s="954"/>
      <c r="S106" s="954"/>
      <c r="T106" s="954"/>
      <c r="U106" s="954"/>
      <c r="V106" s="954"/>
      <c r="W106" s="954"/>
      <c r="X106" s="954"/>
      <c r="Y106" s="954"/>
      <c r="Z106" s="954"/>
      <c r="AA106" s="954"/>
      <c r="AB106" s="954"/>
      <c r="AC106" s="954"/>
      <c r="AD106" s="954"/>
      <c r="AE106" s="954"/>
      <c r="AF106" s="954"/>
      <c r="AG106" s="954"/>
      <c r="AH106" s="954"/>
      <c r="AI106" s="954"/>
      <c r="AJ106" s="954"/>
      <c r="AK106" s="954"/>
      <c r="AL106" s="954"/>
      <c r="AM106" s="954"/>
      <c r="AN106" s="954"/>
      <c r="AO106" s="954"/>
      <c r="AP106" s="954"/>
      <c r="AQ106" s="954"/>
      <c r="AR106" s="954"/>
      <c r="AS106" s="954"/>
    </row>
    <row r="107" spans="1:45">
      <c r="A107" s="954"/>
      <c r="B107" s="954"/>
      <c r="C107" s="954"/>
      <c r="D107" s="954"/>
      <c r="E107" s="954"/>
      <c r="F107" s="954"/>
      <c r="G107" s="954"/>
      <c r="H107" s="954"/>
      <c r="I107" s="954"/>
      <c r="J107" s="954"/>
      <c r="K107" s="954"/>
      <c r="L107" s="954"/>
      <c r="M107" s="954"/>
      <c r="N107" s="954"/>
      <c r="O107" s="954"/>
      <c r="P107" s="954"/>
      <c r="Q107" s="954"/>
      <c r="R107" s="954"/>
      <c r="S107" s="954"/>
      <c r="T107" s="954"/>
      <c r="U107" s="954"/>
      <c r="V107" s="954"/>
      <c r="W107" s="954"/>
      <c r="X107" s="954"/>
      <c r="Y107" s="954"/>
      <c r="Z107" s="954"/>
      <c r="AA107" s="954"/>
      <c r="AB107" s="954"/>
      <c r="AC107" s="954"/>
      <c r="AD107" s="954"/>
      <c r="AE107" s="954"/>
      <c r="AF107" s="954"/>
      <c r="AG107" s="954"/>
      <c r="AH107" s="954"/>
      <c r="AI107" s="954"/>
      <c r="AJ107" s="954"/>
      <c r="AK107" s="954"/>
      <c r="AL107" s="954"/>
      <c r="AM107" s="954"/>
      <c r="AN107" s="954"/>
      <c r="AO107" s="954"/>
      <c r="AP107" s="954"/>
      <c r="AQ107" s="954"/>
      <c r="AR107" s="954"/>
      <c r="AS107" s="954"/>
    </row>
    <row r="108" spans="1:45">
      <c r="A108" s="954"/>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row>
    <row r="109" spans="1:45">
      <c r="A109" s="954"/>
      <c r="B109" s="954"/>
      <c r="C109" s="954"/>
      <c r="D109" s="954"/>
      <c r="E109" s="954"/>
      <c r="F109" s="954"/>
      <c r="G109" s="954"/>
      <c r="H109" s="954"/>
      <c r="I109" s="954"/>
      <c r="J109" s="954"/>
      <c r="K109" s="954"/>
      <c r="L109" s="954"/>
      <c r="M109" s="954"/>
      <c r="N109" s="954"/>
      <c r="O109" s="954"/>
      <c r="P109" s="954"/>
      <c r="Q109" s="954"/>
      <c r="R109" s="954"/>
      <c r="S109" s="954"/>
      <c r="T109" s="954"/>
      <c r="U109" s="954"/>
      <c r="V109" s="954"/>
      <c r="W109" s="954"/>
      <c r="X109" s="954"/>
      <c r="Y109" s="954"/>
      <c r="Z109" s="954"/>
      <c r="AA109" s="954"/>
      <c r="AB109" s="954"/>
      <c r="AC109" s="954"/>
      <c r="AD109" s="954"/>
      <c r="AE109" s="954"/>
      <c r="AF109" s="954"/>
      <c r="AG109" s="954"/>
      <c r="AH109" s="954"/>
      <c r="AI109" s="954"/>
      <c r="AJ109" s="954"/>
      <c r="AK109" s="954"/>
      <c r="AL109" s="954"/>
      <c r="AM109" s="954"/>
      <c r="AN109" s="954"/>
      <c r="AO109" s="954"/>
      <c r="AP109" s="954"/>
      <c r="AQ109" s="954"/>
      <c r="AR109" s="954"/>
      <c r="AS109" s="954"/>
    </row>
    <row r="110" spans="1:45">
      <c r="A110" s="954"/>
      <c r="B110" s="954"/>
      <c r="C110" s="954"/>
      <c r="D110" s="954"/>
      <c r="E110" s="954"/>
      <c r="F110" s="954"/>
      <c r="G110" s="954"/>
      <c r="H110" s="954"/>
      <c r="I110" s="954"/>
      <c r="J110" s="954"/>
      <c r="K110" s="954"/>
      <c r="L110" s="954"/>
      <c r="M110" s="954"/>
      <c r="N110" s="954"/>
      <c r="O110" s="954"/>
      <c r="P110" s="954"/>
      <c r="Q110" s="954"/>
      <c r="R110" s="954"/>
      <c r="S110" s="954"/>
      <c r="T110" s="954"/>
      <c r="U110" s="954"/>
      <c r="V110" s="954"/>
      <c r="W110" s="954"/>
      <c r="X110" s="954"/>
      <c r="Y110" s="954"/>
      <c r="Z110" s="954"/>
      <c r="AA110" s="954"/>
      <c r="AB110" s="954"/>
      <c r="AC110" s="954"/>
      <c r="AD110" s="954"/>
      <c r="AE110" s="954"/>
      <c r="AF110" s="954"/>
      <c r="AG110" s="954"/>
      <c r="AH110" s="954"/>
      <c r="AI110" s="954"/>
      <c r="AJ110" s="954"/>
      <c r="AK110" s="954"/>
      <c r="AL110" s="954"/>
      <c r="AM110" s="954"/>
      <c r="AN110" s="954"/>
      <c r="AO110" s="954"/>
      <c r="AP110" s="954"/>
      <c r="AQ110" s="954"/>
      <c r="AR110" s="954"/>
      <c r="AS110" s="954"/>
    </row>
    <row r="111" spans="1:45">
      <c r="A111" s="954"/>
      <c r="B111" s="954"/>
      <c r="C111" s="954"/>
      <c r="D111" s="954"/>
      <c r="E111" s="954"/>
      <c r="F111" s="954"/>
      <c r="G111" s="954"/>
      <c r="H111" s="954"/>
      <c r="I111" s="954"/>
      <c r="J111" s="954"/>
      <c r="K111" s="954"/>
      <c r="L111" s="954"/>
      <c r="M111" s="954"/>
      <c r="N111" s="954"/>
      <c r="O111" s="954"/>
      <c r="P111" s="954"/>
      <c r="Q111" s="954"/>
      <c r="R111" s="954"/>
      <c r="S111" s="954"/>
      <c r="T111" s="954"/>
      <c r="U111" s="954"/>
      <c r="V111" s="954"/>
      <c r="W111" s="954"/>
      <c r="X111" s="954"/>
      <c r="Y111" s="954"/>
      <c r="Z111" s="954"/>
      <c r="AA111" s="954"/>
      <c r="AB111" s="954"/>
      <c r="AC111" s="954"/>
      <c r="AD111" s="954"/>
      <c r="AE111" s="954"/>
      <c r="AF111" s="954"/>
      <c r="AG111" s="954"/>
      <c r="AH111" s="954"/>
      <c r="AI111" s="954"/>
      <c r="AJ111" s="954"/>
      <c r="AK111" s="954"/>
      <c r="AL111" s="954"/>
      <c r="AM111" s="954"/>
      <c r="AN111" s="954"/>
      <c r="AO111" s="954"/>
      <c r="AP111" s="954"/>
      <c r="AQ111" s="954"/>
      <c r="AR111" s="954"/>
      <c r="AS111" s="954"/>
    </row>
    <row r="112" spans="1:45">
      <c r="A112" s="954"/>
      <c r="B112" s="954"/>
      <c r="C112" s="954"/>
      <c r="D112" s="954"/>
      <c r="E112" s="954"/>
      <c r="F112" s="954"/>
      <c r="G112" s="954"/>
      <c r="H112" s="954"/>
      <c r="I112" s="954"/>
      <c r="J112" s="954"/>
      <c r="K112" s="954"/>
      <c r="L112" s="954"/>
      <c r="M112" s="954"/>
      <c r="N112" s="954"/>
      <c r="O112" s="954"/>
      <c r="P112" s="954"/>
      <c r="Q112" s="954"/>
      <c r="R112" s="954"/>
      <c r="S112" s="954"/>
      <c r="T112" s="954"/>
      <c r="U112" s="954"/>
      <c r="V112" s="954"/>
      <c r="W112" s="954"/>
      <c r="X112" s="954"/>
      <c r="Y112" s="954"/>
      <c r="Z112" s="954"/>
      <c r="AA112" s="954"/>
      <c r="AB112" s="954"/>
      <c r="AC112" s="954"/>
      <c r="AD112" s="954"/>
      <c r="AE112" s="954"/>
      <c r="AF112" s="954"/>
      <c r="AG112" s="954"/>
      <c r="AH112" s="954"/>
      <c r="AI112" s="954"/>
      <c r="AJ112" s="954"/>
      <c r="AK112" s="954"/>
      <c r="AL112" s="954"/>
      <c r="AM112" s="954"/>
      <c r="AN112" s="954"/>
      <c r="AO112" s="954"/>
      <c r="AP112" s="954"/>
      <c r="AQ112" s="954"/>
      <c r="AR112" s="954"/>
      <c r="AS112" s="954"/>
    </row>
    <row r="113" spans="1:45">
      <c r="A113" s="954"/>
      <c r="B113" s="954"/>
      <c r="C113" s="954"/>
      <c r="D113" s="954"/>
      <c r="E113" s="954"/>
      <c r="F113" s="954"/>
      <c r="G113" s="954"/>
      <c r="H113" s="954"/>
      <c r="I113" s="954"/>
      <c r="J113" s="954"/>
      <c r="K113" s="954"/>
      <c r="L113" s="954"/>
      <c r="M113" s="954"/>
      <c r="N113" s="954"/>
      <c r="O113" s="954"/>
      <c r="P113" s="954"/>
      <c r="Q113" s="954"/>
      <c r="R113" s="954"/>
      <c r="S113" s="954"/>
      <c r="T113" s="954"/>
      <c r="U113" s="954"/>
      <c r="V113" s="954"/>
      <c r="W113" s="954"/>
      <c r="X113" s="954"/>
      <c r="Y113" s="954"/>
      <c r="Z113" s="954"/>
      <c r="AA113" s="954"/>
      <c r="AB113" s="954"/>
      <c r="AC113" s="954"/>
      <c r="AD113" s="954"/>
      <c r="AE113" s="954"/>
      <c r="AF113" s="954"/>
      <c r="AG113" s="954"/>
      <c r="AH113" s="954"/>
      <c r="AI113" s="954"/>
      <c r="AJ113" s="954"/>
      <c r="AK113" s="954"/>
      <c r="AL113" s="954"/>
      <c r="AM113" s="954"/>
      <c r="AN113" s="954"/>
      <c r="AO113" s="954"/>
      <c r="AP113" s="954"/>
      <c r="AQ113" s="954"/>
      <c r="AR113" s="954"/>
      <c r="AS113" s="954"/>
    </row>
  </sheetData>
  <mergeCells count="20">
    <mergeCell ref="B13:F13"/>
    <mergeCell ref="U13:V13"/>
    <mergeCell ref="B16:B18"/>
    <mergeCell ref="H18:S18"/>
    <mergeCell ref="B20:F20"/>
    <mergeCell ref="U20:V20"/>
    <mergeCell ref="X21:X26"/>
    <mergeCell ref="B22:B23"/>
    <mergeCell ref="C22:C23"/>
    <mergeCell ref="B24:B25"/>
    <mergeCell ref="B27:F27"/>
    <mergeCell ref="U27:V27"/>
    <mergeCell ref="B37:F37"/>
    <mergeCell ref="H37:S37"/>
    <mergeCell ref="B28:B29"/>
    <mergeCell ref="I28:S28"/>
    <mergeCell ref="M29:P29"/>
    <mergeCell ref="B30:B31"/>
    <mergeCell ref="B32:B34"/>
    <mergeCell ref="H35:S35"/>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2:H28"/>
  <sheetViews>
    <sheetView zoomScaleNormal="100" workbookViewId="0">
      <selection activeCell="A5" sqref="A5"/>
    </sheetView>
  </sheetViews>
  <sheetFormatPr defaultColWidth="10.85546875" defaultRowHeight="15"/>
  <cols>
    <col min="1" max="1" width="23.42578125" customWidth="1"/>
    <col min="2" max="2" width="29.42578125" customWidth="1"/>
    <col min="3" max="3" width="22.5703125" customWidth="1"/>
    <col min="4" max="4" width="50.42578125" customWidth="1"/>
    <col min="5" max="5" width="24" customWidth="1"/>
  </cols>
  <sheetData>
    <row r="2" spans="1:8">
      <c r="A2" s="959" t="s">
        <v>370</v>
      </c>
      <c r="B2" s="959" t="s">
        <v>1528</v>
      </c>
      <c r="C2" s="959" t="s">
        <v>1529</v>
      </c>
      <c r="D2" s="959" t="s">
        <v>1530</v>
      </c>
      <c r="E2" s="959" t="s">
        <v>1531</v>
      </c>
    </row>
    <row r="3" spans="1:8">
      <c r="A3" s="1895" t="s">
        <v>1532</v>
      </c>
      <c r="B3" s="1895"/>
      <c r="C3" s="1895"/>
      <c r="D3" s="1895"/>
      <c r="E3" s="1895"/>
    </row>
    <row r="4" spans="1:8" ht="26.1" customHeight="1">
      <c r="A4" s="959" t="s">
        <v>1533</v>
      </c>
      <c r="B4" s="959" t="s">
        <v>1534</v>
      </c>
      <c r="C4" s="959">
        <v>100</v>
      </c>
      <c r="D4" s="959">
        <v>240</v>
      </c>
      <c r="E4" s="962">
        <f>$C4*$D4</f>
        <v>24000</v>
      </c>
    </row>
    <row r="5" spans="1:8" ht="26.1" customHeight="1">
      <c r="A5" s="959" t="s">
        <v>1535</v>
      </c>
      <c r="B5" s="959" t="s">
        <v>1534</v>
      </c>
      <c r="C5" s="959">
        <v>80</v>
      </c>
      <c r="D5" s="959">
        <v>240</v>
      </c>
      <c r="E5" s="962">
        <f t="shared" ref="E5:E16" si="0">$C5*$D5</f>
        <v>19200</v>
      </c>
      <c r="H5" s="985"/>
    </row>
    <row r="6" spans="1:8" ht="15.95" customHeight="1">
      <c r="A6" s="986"/>
      <c r="B6" s="986"/>
      <c r="C6" s="986"/>
      <c r="D6" s="986"/>
      <c r="E6" s="987"/>
      <c r="H6" s="985"/>
    </row>
    <row r="7" spans="1:8" ht="15.95" customHeight="1">
      <c r="A7" s="986"/>
      <c r="B7" s="986"/>
      <c r="C7" s="986"/>
      <c r="D7" s="986"/>
      <c r="E7" s="987"/>
      <c r="H7" s="985"/>
    </row>
    <row r="8" spans="1:8" ht="15.95" customHeight="1">
      <c r="A8" s="959" t="s">
        <v>370</v>
      </c>
      <c r="B8" s="959" t="s">
        <v>1528</v>
      </c>
      <c r="C8" s="959" t="s">
        <v>1536</v>
      </c>
      <c r="D8" s="959" t="s">
        <v>1537</v>
      </c>
      <c r="E8" s="959" t="s">
        <v>1531</v>
      </c>
      <c r="H8" s="985"/>
    </row>
    <row r="9" spans="1:8" ht="15.95" customHeight="1">
      <c r="A9" s="1895" t="s">
        <v>1538</v>
      </c>
      <c r="B9" s="1895"/>
      <c r="C9" s="1895"/>
      <c r="D9" s="1895"/>
      <c r="E9" s="1895"/>
      <c r="H9" s="985"/>
    </row>
    <row r="10" spans="1:8" ht="26.1" customHeight="1">
      <c r="A10" s="959" t="s">
        <v>1539</v>
      </c>
      <c r="B10" s="959" t="s">
        <v>1534</v>
      </c>
      <c r="C10" s="959">
        <v>50</v>
      </c>
      <c r="D10" s="959">
        <v>120</v>
      </c>
      <c r="E10" s="962">
        <f t="shared" si="0"/>
        <v>6000</v>
      </c>
      <c r="H10" s="985"/>
    </row>
    <row r="11" spans="1:8" ht="26.1" customHeight="1">
      <c r="A11" s="959" t="s">
        <v>1540</v>
      </c>
      <c r="B11" s="959" t="s">
        <v>1534</v>
      </c>
      <c r="C11" s="959">
        <v>40</v>
      </c>
      <c r="D11" s="959">
        <v>120</v>
      </c>
      <c r="E11" s="962">
        <f t="shared" si="0"/>
        <v>4800</v>
      </c>
      <c r="H11" s="985"/>
    </row>
    <row r="12" spans="1:8" ht="26.1" customHeight="1">
      <c r="A12" s="959" t="s">
        <v>1541</v>
      </c>
      <c r="B12" s="959" t="s">
        <v>1534</v>
      </c>
      <c r="C12" s="959">
        <v>50</v>
      </c>
      <c r="D12" s="959">
        <v>480</v>
      </c>
      <c r="E12" s="962">
        <f t="shared" si="0"/>
        <v>24000</v>
      </c>
      <c r="H12" s="985"/>
    </row>
    <row r="13" spans="1:8" ht="26.1" customHeight="1">
      <c r="A13" s="959" t="s">
        <v>1542</v>
      </c>
      <c r="B13" s="959" t="s">
        <v>1534</v>
      </c>
      <c r="C13" s="959">
        <v>30</v>
      </c>
      <c r="D13" s="959">
        <v>240</v>
      </c>
      <c r="E13" s="962">
        <f t="shared" si="0"/>
        <v>7200</v>
      </c>
      <c r="H13" s="985"/>
    </row>
    <row r="14" spans="1:8" ht="26.1" customHeight="1">
      <c r="A14" s="959" t="s">
        <v>1543</v>
      </c>
      <c r="B14" s="959" t="s">
        <v>1534</v>
      </c>
      <c r="C14" s="959">
        <v>50</v>
      </c>
      <c r="D14" s="959">
        <v>480</v>
      </c>
      <c r="E14" s="962">
        <f t="shared" si="0"/>
        <v>24000</v>
      </c>
      <c r="H14" s="985"/>
    </row>
    <row r="15" spans="1:8" ht="26.1" customHeight="1">
      <c r="A15" s="959" t="s">
        <v>1544</v>
      </c>
      <c r="B15" s="959" t="s">
        <v>1534</v>
      </c>
      <c r="C15" s="959">
        <v>50</v>
      </c>
      <c r="D15" s="959">
        <v>480</v>
      </c>
      <c r="E15" s="962">
        <f t="shared" si="0"/>
        <v>24000</v>
      </c>
      <c r="H15" s="985"/>
    </row>
    <row r="16" spans="1:8" ht="26.1" customHeight="1">
      <c r="A16" s="959" t="s">
        <v>1545</v>
      </c>
      <c r="B16" s="959" t="s">
        <v>1534</v>
      </c>
      <c r="C16" s="959">
        <v>40</v>
      </c>
      <c r="D16" s="959">
        <v>480</v>
      </c>
      <c r="E16" s="962">
        <f t="shared" si="0"/>
        <v>19200</v>
      </c>
      <c r="H16" s="985"/>
    </row>
    <row r="17" spans="1:8" ht="15" customHeight="1">
      <c r="A17" s="1897" t="s">
        <v>1525</v>
      </c>
      <c r="B17" s="1898"/>
      <c r="C17" s="1898"/>
      <c r="D17" s="1899"/>
      <c r="E17" s="988">
        <f>SUM(E10:E16)</f>
        <v>109200</v>
      </c>
      <c r="H17" s="985"/>
    </row>
    <row r="18" spans="1:8" ht="15.75">
      <c r="H18" s="985"/>
    </row>
    <row r="19" spans="1:8" ht="15.75">
      <c r="H19" s="985"/>
    </row>
    <row r="20" spans="1:8" ht="15.75">
      <c r="A20" s="959" t="s">
        <v>370</v>
      </c>
      <c r="B20" s="959" t="s">
        <v>1528</v>
      </c>
      <c r="C20" s="959" t="s">
        <v>1536</v>
      </c>
      <c r="D20" s="959" t="s">
        <v>1537</v>
      </c>
      <c r="E20" s="959" t="s">
        <v>1531</v>
      </c>
      <c r="H20" s="985"/>
    </row>
    <row r="21" spans="1:8" ht="15.75">
      <c r="A21" s="1895" t="s">
        <v>1546</v>
      </c>
      <c r="B21" s="1895"/>
      <c r="C21" s="1895"/>
      <c r="D21" s="1895"/>
      <c r="E21" s="1895"/>
      <c r="H21" s="985"/>
    </row>
    <row r="22" spans="1:8" ht="26.1" customHeight="1">
      <c r="A22" s="959" t="s">
        <v>1547</v>
      </c>
      <c r="B22" s="959" t="s">
        <v>1548</v>
      </c>
      <c r="C22" s="959" t="s">
        <v>1549</v>
      </c>
      <c r="D22" s="959" t="s">
        <v>1550</v>
      </c>
      <c r="E22" s="989">
        <v>12000</v>
      </c>
      <c r="H22" s="985"/>
    </row>
    <row r="23" spans="1:8" ht="26.1" customHeight="1">
      <c r="A23" s="959" t="s">
        <v>1551</v>
      </c>
      <c r="B23" s="959" t="s">
        <v>1552</v>
      </c>
      <c r="C23" s="959" t="s">
        <v>1549</v>
      </c>
      <c r="D23" s="959" t="s">
        <v>1553</v>
      </c>
      <c r="E23" s="989">
        <v>15000</v>
      </c>
      <c r="H23" s="985"/>
    </row>
    <row r="24" spans="1:8" ht="26.1" customHeight="1">
      <c r="A24" s="959" t="s">
        <v>1554</v>
      </c>
      <c r="B24" s="959" t="s">
        <v>1552</v>
      </c>
      <c r="C24" s="959" t="s">
        <v>1549</v>
      </c>
      <c r="D24" s="959" t="s">
        <v>1555</v>
      </c>
      <c r="E24" s="990">
        <v>150000</v>
      </c>
      <c r="H24" s="985"/>
    </row>
    <row r="26" spans="1:8">
      <c r="A26" s="991" t="s">
        <v>1556</v>
      </c>
    </row>
    <row r="27" spans="1:8">
      <c r="A27" s="968" t="s">
        <v>1557</v>
      </c>
    </row>
    <row r="28" spans="1:8">
      <c r="A28" t="s">
        <v>1558</v>
      </c>
    </row>
  </sheetData>
  <mergeCells count="4">
    <mergeCell ref="A3:E3"/>
    <mergeCell ref="A9:E9"/>
    <mergeCell ref="A17:D17"/>
    <mergeCell ref="A21:E2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K25"/>
  <sheetViews>
    <sheetView zoomScaleNormal="100" workbookViewId="0">
      <selection activeCell="C14" sqref="C14"/>
    </sheetView>
  </sheetViews>
  <sheetFormatPr defaultColWidth="8.85546875" defaultRowHeight="12"/>
  <cols>
    <col min="1" max="1" width="4.7109375" style="635" customWidth="1"/>
    <col min="2" max="2" width="24.7109375" style="635" customWidth="1"/>
    <col min="3" max="3" width="14.85546875" style="635" bestFit="1" customWidth="1"/>
    <col min="4" max="12" width="14" style="635" customWidth="1"/>
    <col min="13" max="16" width="12.7109375" style="635" customWidth="1"/>
    <col min="17" max="19" width="12.140625" style="635" customWidth="1"/>
    <col min="20" max="20" width="11.28515625" style="635" bestFit="1" customWidth="1"/>
    <col min="21" max="16384" width="8.85546875" style="635"/>
  </cols>
  <sheetData>
    <row r="1" spans="1:11" s="1264" customFormat="1" ht="15.75">
      <c r="A1" s="1263" t="s">
        <v>479</v>
      </c>
    </row>
    <row r="3" spans="1:11" ht="12.75" thickBot="1">
      <c r="A3" s="1265" t="s">
        <v>1563</v>
      </c>
    </row>
    <row r="4" spans="1:11">
      <c r="B4" s="1448" t="s">
        <v>1721</v>
      </c>
      <c r="C4" s="1655">
        <v>0.02</v>
      </c>
      <c r="D4" s="635" t="s">
        <v>1704</v>
      </c>
    </row>
    <row r="5" spans="1:11">
      <c r="B5" s="1437"/>
      <c r="C5" s="1446"/>
    </row>
    <row r="6" spans="1:11" ht="12.75" thickBot="1">
      <c r="B6" s="1449"/>
      <c r="C6" s="1447"/>
    </row>
    <row r="7" spans="1:11" ht="12.75" thickBot="1">
      <c r="C7" s="1445"/>
    </row>
    <row r="8" spans="1:11">
      <c r="B8" s="1435" t="s">
        <v>1652</v>
      </c>
      <c r="C8" s="1433">
        <v>2026</v>
      </c>
      <c r="D8" s="1431">
        <v>2027</v>
      </c>
      <c r="E8" s="1431">
        <v>2028</v>
      </c>
      <c r="F8" s="1431">
        <v>2029</v>
      </c>
      <c r="G8" s="1431">
        <v>2030</v>
      </c>
      <c r="H8" s="1431">
        <v>2031</v>
      </c>
      <c r="I8" s="1431">
        <v>2032</v>
      </c>
      <c r="J8" s="1455">
        <v>2033</v>
      </c>
    </row>
    <row r="9" spans="1:11">
      <c r="B9" s="1476" t="s">
        <v>680</v>
      </c>
      <c r="C9" s="1477">
        <f>SUM(C11,C13)</f>
        <v>164866.3840379653</v>
      </c>
      <c r="D9" s="1478">
        <f t="shared" ref="D9:J9" si="0">SUM(D11,D13)</f>
        <v>673700.2377427516</v>
      </c>
      <c r="E9" s="1478">
        <f t="shared" si="0"/>
        <v>1025144.6201725011</v>
      </c>
      <c r="F9" s="1478">
        <f t="shared" si="0"/>
        <v>1347965.7930571763</v>
      </c>
      <c r="G9" s="1478">
        <f t="shared" si="0"/>
        <v>1671101.2652471215</v>
      </c>
      <c r="H9" s="1478">
        <f t="shared" si="0"/>
        <v>1994742.3777527926</v>
      </c>
      <c r="I9" s="1478">
        <f t="shared" si="0"/>
        <v>2319084.5087079783</v>
      </c>
      <c r="J9" s="1479">
        <f t="shared" si="0"/>
        <v>2644327.4920868892</v>
      </c>
      <c r="K9" s="1345">
        <f>SUM(C9:J9)</f>
        <v>11840932.678805174</v>
      </c>
    </row>
    <row r="10" spans="1:11">
      <c r="B10" s="1437" t="s">
        <v>1647</v>
      </c>
      <c r="C10" s="1506">
        <f>'B_01 Benefity súhrn'!E19</f>
        <v>8243319.2018982647</v>
      </c>
      <c r="D10" s="1506">
        <f>'B_01 Benefity súhrn'!F19</f>
        <v>33685011.887137577</v>
      </c>
      <c r="E10" s="1506">
        <f>'B_01 Benefity súhrn'!G19</f>
        <v>51257231.008625053</v>
      </c>
      <c r="F10" s="1506">
        <f>'B_01 Benefity súhrn'!H19</f>
        <v>67398289.652858809</v>
      </c>
      <c r="G10" s="1506">
        <f>'B_01 Benefity súhrn'!I19</f>
        <v>83555063.262356073</v>
      </c>
      <c r="H10" s="1506">
        <f>'B_01 Benefity súhrn'!J19</f>
        <v>99737118.887639627</v>
      </c>
      <c r="I10" s="1506">
        <f>'B_01 Benefity súhrn'!K19</f>
        <v>115954225.43539891</v>
      </c>
      <c r="J10" s="1642">
        <f>'B_01 Benefity súhrn'!L19</f>
        <v>132216374.60434446</v>
      </c>
    </row>
    <row r="11" spans="1:11">
      <c r="B11" s="1437" t="s">
        <v>1703</v>
      </c>
      <c r="C11" s="1450">
        <f>C10*$C$4</f>
        <v>164866.3840379653</v>
      </c>
      <c r="D11" s="1368">
        <f t="shared" ref="D11:J11" si="1">D10*$C$4</f>
        <v>673700.2377427516</v>
      </c>
      <c r="E11" s="1368">
        <f t="shared" si="1"/>
        <v>1025144.6201725011</v>
      </c>
      <c r="F11" s="1368">
        <f t="shared" si="1"/>
        <v>1347965.7930571763</v>
      </c>
      <c r="G11" s="1368">
        <f t="shared" si="1"/>
        <v>1671101.2652471215</v>
      </c>
      <c r="H11" s="1368">
        <f t="shared" si="1"/>
        <v>1994742.3777527926</v>
      </c>
      <c r="I11" s="1368">
        <f t="shared" si="1"/>
        <v>2319084.5087079783</v>
      </c>
      <c r="J11" s="1451">
        <f t="shared" si="1"/>
        <v>2644327.4920868892</v>
      </c>
    </row>
    <row r="12" spans="1:11" hidden="1">
      <c r="B12" s="1437" t="s">
        <v>1657</v>
      </c>
      <c r="C12" s="1475">
        <f>(C10*'B_02 Benefity varianty'!D$109*'B_02 Benefity varianty'!D$97)+(C10*'B_02 Benefity varianty'!D$110*'B_02 Benefity varianty'!D$98)+(C10*'B_02 Benefity varianty'!D$111*'B_02 Benefity varianty'!D$99)+(C10*'B_02 Benefity varianty'!D$112*'B_02 Benefity varianty'!D$100)+(C10*'B_02 Benefity varianty'!D$113*'B_02 Benefity varianty'!D$101)</f>
        <v>8252663.3322272524</v>
      </c>
      <c r="D12" s="1475">
        <f>(D10*'B_02 Benefity varianty'!E$109*'B_02 Benefity varianty'!E$97)+(D10*'B_02 Benefity varianty'!E$110*'B_02 Benefity varianty'!E$98)+(D10*'B_02 Benefity varianty'!E$111*'B_02 Benefity varianty'!E$99)+(D10*'B_02 Benefity varianty'!E$112*'B_02 Benefity varianty'!E$100)+(D10*'B_02 Benefity varianty'!E$113*'B_02 Benefity varianty'!E$101)</f>
        <v>34040402.574562691</v>
      </c>
      <c r="E12" s="1475">
        <f>(E10*'B_02 Benefity varianty'!F$109*'B_02 Benefity varianty'!F$97)+(E10*'B_02 Benefity varianty'!F$110*'B_02 Benefity varianty'!F$98)+(E10*'B_02 Benefity varianty'!F$111*'B_02 Benefity varianty'!F$99)+(E10*'B_02 Benefity varianty'!F$112*'B_02 Benefity varianty'!F$100)+(E10*'B_02 Benefity varianty'!F$113*'B_02 Benefity varianty'!F$101)</f>
        <v>52287544.291662112</v>
      </c>
      <c r="F12" s="1475">
        <f>(F10*'B_02 Benefity varianty'!G$109*'B_02 Benefity varianty'!G$97)+(F10*'B_02 Benefity varianty'!G$110*'B_02 Benefity varianty'!G$98)+(F10*'B_02 Benefity varianty'!G$111*'B_02 Benefity varianty'!G$99)+(F10*'B_02 Benefity varianty'!G$112*'B_02 Benefity varianty'!G$100)+(F10*'B_02 Benefity varianty'!G$113*'B_02 Benefity varianty'!G$101)</f>
        <v>69405756.334149748</v>
      </c>
      <c r="G12" s="1475">
        <f>(G10*'B_02 Benefity varianty'!H$109*'B_02 Benefity varianty'!H$97)+(G10*'B_02 Benefity varianty'!H$110*'B_02 Benefity varianty'!H$98)+(G10*'B_02 Benefity varianty'!H$111*'B_02 Benefity varianty'!H$99)+(G10*'B_02 Benefity varianty'!H$112*'B_02 Benefity varianty'!H$100)+(G10*'B_02 Benefity varianty'!H$113*'B_02 Benefity varianty'!H$101)</f>
        <v>86864149.457179084</v>
      </c>
      <c r="H12" s="1475">
        <f>(H10*'B_02 Benefity varianty'!I$109*'B_02 Benefity varianty'!I$97)+(H10*'B_02 Benefity varianty'!I$110*'B_02 Benefity varianty'!I$98)+(H10*'B_02 Benefity varianty'!I$111*'B_02 Benefity varianty'!I$99)+(H10*'B_02 Benefity varianty'!I$112*'B_02 Benefity varianty'!I$100)+(H10*'B_02 Benefity varianty'!I$113*'B_02 Benefity varianty'!I$101)</f>
        <v>104679778.33687332</v>
      </c>
      <c r="I12" s="1475">
        <f>(I10*'B_02 Benefity varianty'!J$109*'B_02 Benefity varianty'!J$97)+(I10*'B_02 Benefity varianty'!J$110*'B_02 Benefity varianty'!J$98)+(I10*'B_02 Benefity varianty'!J$111*'B_02 Benefity varianty'!J$99)+(I10*'B_02 Benefity varianty'!J$112*'B_02 Benefity varianty'!J$100)+(I10*'B_02 Benefity varianty'!J$113*'B_02 Benefity varianty'!J$101)</f>
        <v>122870344.49050272</v>
      </c>
      <c r="J12" s="1643">
        <f>(J10*'B_02 Benefity varianty'!K$109*'B_02 Benefity varianty'!K$97)+(J10*'B_02 Benefity varianty'!K$110*'B_02 Benefity varianty'!K$98)+(J10*'B_02 Benefity varianty'!K$111*'B_02 Benefity varianty'!K$99)+(J10*'B_02 Benefity varianty'!K$112*'B_02 Benefity varianty'!K$100)+(J10*'B_02 Benefity varianty'!K$113*'B_02 Benefity varianty'!K$101)</f>
        <v>141454243.66825619</v>
      </c>
    </row>
    <row r="13" spans="1:11" hidden="1">
      <c r="B13" s="1438" t="s">
        <v>1650</v>
      </c>
      <c r="C13" s="1644">
        <f>C12*$C$5</f>
        <v>0</v>
      </c>
      <c r="D13" s="1645">
        <f t="shared" ref="D13:J13" si="2">D12*$C$5</f>
        <v>0</v>
      </c>
      <c r="E13" s="1645">
        <f t="shared" si="2"/>
        <v>0</v>
      </c>
      <c r="F13" s="1645">
        <f t="shared" si="2"/>
        <v>0</v>
      </c>
      <c r="G13" s="1645">
        <f t="shared" si="2"/>
        <v>0</v>
      </c>
      <c r="H13" s="1645">
        <f t="shared" si="2"/>
        <v>0</v>
      </c>
      <c r="I13" s="1645">
        <f t="shared" si="2"/>
        <v>0</v>
      </c>
      <c r="J13" s="1646">
        <f t="shared" si="2"/>
        <v>0</v>
      </c>
    </row>
    <row r="14" spans="1:11">
      <c r="B14" s="1647" t="s">
        <v>681</v>
      </c>
      <c r="C14" s="1648">
        <f>SUM(C16,C18)</f>
        <v>220416.66483279751</v>
      </c>
      <c r="D14" s="1649">
        <f t="shared" ref="D14:J14" si="3">SUM(D16,D18)</f>
        <v>903058.61758850201</v>
      </c>
      <c r="E14" s="1649">
        <f t="shared" si="3"/>
        <v>1376508.9181078349</v>
      </c>
      <c r="F14" s="1649">
        <f t="shared" si="3"/>
        <v>1807003.3053022348</v>
      </c>
      <c r="G14" s="1649">
        <f t="shared" si="3"/>
        <v>2237916.7582369954</v>
      </c>
      <c r="H14" s="1649">
        <f t="shared" si="3"/>
        <v>2669504.3982593901</v>
      </c>
      <c r="I14" s="1649">
        <f t="shared" si="3"/>
        <v>3102026.7295478047</v>
      </c>
      <c r="J14" s="1650">
        <f t="shared" si="3"/>
        <v>3535750.1974011865</v>
      </c>
      <c r="K14" s="1345">
        <f>SUM(C14:J14)</f>
        <v>15852185.589276746</v>
      </c>
    </row>
    <row r="15" spans="1:11">
      <c r="B15" s="1437" t="s">
        <v>1647</v>
      </c>
      <c r="C15" s="1506">
        <f>'B_01 Benefity súhrn'!E37</f>
        <v>11020833.241639875</v>
      </c>
      <c r="D15" s="1506">
        <f>'B_01 Benefity súhrn'!F37</f>
        <v>45152930.879425101</v>
      </c>
      <c r="E15" s="1506">
        <f>'B_01 Benefity súhrn'!G37</f>
        <v>68825445.905391738</v>
      </c>
      <c r="F15" s="1506">
        <f>'B_01 Benefity súhrn'!H37</f>
        <v>90350165.265111744</v>
      </c>
      <c r="G15" s="1506">
        <f>'B_01 Benefity súhrn'!I37</f>
        <v>111895837.91184977</v>
      </c>
      <c r="H15" s="1506">
        <f>'B_01 Benefity súhrn'!J37</f>
        <v>133475219.91296951</v>
      </c>
      <c r="I15" s="1506">
        <f>'B_01 Benefity súhrn'!K37</f>
        <v>155101336.47739023</v>
      </c>
      <c r="J15" s="1642">
        <f>'B_01 Benefity súhrn'!L37</f>
        <v>176787509.87005931</v>
      </c>
    </row>
    <row r="16" spans="1:11">
      <c r="B16" s="1437" t="s">
        <v>1703</v>
      </c>
      <c r="C16" s="1450">
        <f>C15*$C$4</f>
        <v>220416.66483279751</v>
      </c>
      <c r="D16" s="1368">
        <f t="shared" ref="D16:J16" si="4">D15*$C$4</f>
        <v>903058.61758850201</v>
      </c>
      <c r="E16" s="1368">
        <f t="shared" si="4"/>
        <v>1376508.9181078349</v>
      </c>
      <c r="F16" s="1368">
        <f t="shared" si="4"/>
        <v>1807003.3053022348</v>
      </c>
      <c r="G16" s="1368">
        <f t="shared" si="4"/>
        <v>2237916.7582369954</v>
      </c>
      <c r="H16" s="1368">
        <f t="shared" si="4"/>
        <v>2669504.3982593901</v>
      </c>
      <c r="I16" s="1368">
        <f t="shared" si="4"/>
        <v>3102026.7295478047</v>
      </c>
      <c r="J16" s="1451">
        <f t="shared" si="4"/>
        <v>3535750.1974011865</v>
      </c>
    </row>
    <row r="17" spans="2:11" hidden="1">
      <c r="B17" s="1437" t="s">
        <v>1657</v>
      </c>
      <c r="C17" s="1475">
        <f>(C15*'B_02 Benefity varianty'!D$109*'B_02 Benefity varianty'!D$97)+(C15*'B_02 Benefity varianty'!D$110*'B_02 Benefity varianty'!D$98)+(C15*'B_02 Benefity varianty'!D$111*'B_02 Benefity varianty'!D$99)+(C15*'B_02 Benefity varianty'!D$112*'B_02 Benefity varianty'!D$100)+(C15*'B_02 Benefity varianty'!D$113*'B_02 Benefity varianty'!D$101)</f>
        <v>11033325.794654224</v>
      </c>
      <c r="D17" s="1475">
        <f>(D15*'B_02 Benefity varianty'!E$109*'B_02 Benefity varianty'!E$97)+(D15*'B_02 Benefity varianty'!E$110*'B_02 Benefity varianty'!E$98)+(D15*'B_02 Benefity varianty'!E$111*'B_02 Benefity varianty'!E$99)+(D15*'B_02 Benefity varianty'!E$112*'B_02 Benefity varianty'!E$100)+(D15*'B_02 Benefity varianty'!E$113*'B_02 Benefity varianty'!E$101)</f>
        <v>45629312.814460874</v>
      </c>
      <c r="E17" s="1475">
        <f>(E15*'B_02 Benefity varianty'!F$109*'B_02 Benefity varianty'!F$97)+(E15*'B_02 Benefity varianty'!F$110*'B_02 Benefity varianty'!F$98)+(E15*'B_02 Benefity varianty'!F$111*'B_02 Benefity varianty'!F$99)+(E15*'B_02 Benefity varianty'!F$112*'B_02 Benefity varianty'!F$100)+(E15*'B_02 Benefity varianty'!F$113*'B_02 Benefity varianty'!F$101)</f>
        <v>70208895.025289401</v>
      </c>
      <c r="F17" s="1475">
        <f>(F15*'B_02 Benefity varianty'!G$109*'B_02 Benefity varianty'!G$97)+(F15*'B_02 Benefity varianty'!G$110*'B_02 Benefity varianty'!G$98)+(F15*'B_02 Benefity varianty'!G$111*'B_02 Benefity varianty'!G$99)+(F15*'B_02 Benefity varianty'!G$112*'B_02 Benefity varianty'!G$100)+(F15*'B_02 Benefity varianty'!G$113*'B_02 Benefity varianty'!G$101)</f>
        <v>93041256.498331904</v>
      </c>
      <c r="G17" s="1475">
        <f>(G15*'B_02 Benefity varianty'!H$109*'B_02 Benefity varianty'!H$97)+(G15*'B_02 Benefity varianty'!H$110*'B_02 Benefity varianty'!H$98)+(G15*'B_02 Benefity varianty'!H$111*'B_02 Benefity varianty'!H$99)+(G15*'B_02 Benefity varianty'!H$112*'B_02 Benefity varianty'!H$100)+(G15*'B_02 Benefity varianty'!H$113*'B_02 Benefity varianty'!H$101)</f>
        <v>116327322.46868178</v>
      </c>
      <c r="H17" s="1475">
        <f>(H15*'B_02 Benefity varianty'!I$109*'B_02 Benefity varianty'!I$97)+(H15*'B_02 Benefity varianty'!I$110*'B_02 Benefity varianty'!I$98)+(H15*'B_02 Benefity varianty'!I$111*'B_02 Benefity varianty'!I$99)+(H15*'B_02 Benefity varianty'!I$112*'B_02 Benefity varianty'!I$100)+(H15*'B_02 Benefity varianty'!I$113*'B_02 Benefity varianty'!I$101)</f>
        <v>140089834.05361465</v>
      </c>
      <c r="I17" s="1475">
        <f>(I15*'B_02 Benefity varianty'!J$109*'B_02 Benefity varianty'!J$97)+(I15*'B_02 Benefity varianty'!J$110*'B_02 Benefity varianty'!J$98)+(I15*'B_02 Benefity varianty'!J$111*'B_02 Benefity varianty'!J$99)+(I15*'B_02 Benefity varianty'!J$112*'B_02 Benefity varianty'!J$100)+(I15*'B_02 Benefity varianty'!J$113*'B_02 Benefity varianty'!J$101)</f>
        <v>164352394.85543075</v>
      </c>
      <c r="J17" s="1643">
        <f>(J15*'B_02 Benefity varianty'!K$109*'B_02 Benefity varianty'!K$97)+(J15*'B_02 Benefity varianty'!K$110*'B_02 Benefity varianty'!K$98)+(J15*'B_02 Benefity varianty'!K$111*'B_02 Benefity varianty'!K$99)+(J15*'B_02 Benefity varianty'!K$112*'B_02 Benefity varianty'!K$100)+(J15*'B_02 Benefity varianty'!K$113*'B_02 Benefity varianty'!K$101)</f>
        <v>189139534.14240649</v>
      </c>
    </row>
    <row r="18" spans="2:11" hidden="1">
      <c r="B18" s="1651" t="s">
        <v>1650</v>
      </c>
      <c r="C18" s="1652">
        <f>C17*$C$5</f>
        <v>0</v>
      </c>
      <c r="D18" s="1385">
        <f t="shared" ref="D18:J18" si="5">D17*$C$5</f>
        <v>0</v>
      </c>
      <c r="E18" s="1385">
        <f t="shared" si="5"/>
        <v>0</v>
      </c>
      <c r="F18" s="1385">
        <f t="shared" si="5"/>
        <v>0</v>
      </c>
      <c r="G18" s="1385">
        <f t="shared" si="5"/>
        <v>0</v>
      </c>
      <c r="H18" s="1385">
        <f t="shared" si="5"/>
        <v>0</v>
      </c>
      <c r="I18" s="1385">
        <f t="shared" si="5"/>
        <v>0</v>
      </c>
      <c r="J18" s="1653">
        <f t="shared" si="5"/>
        <v>0</v>
      </c>
    </row>
    <row r="19" spans="2:11">
      <c r="B19" s="1476" t="s">
        <v>682</v>
      </c>
      <c r="C19" s="1477">
        <f>SUM(C25,C23,C21)</f>
        <v>275966.9456276297</v>
      </c>
      <c r="D19" s="1478">
        <f t="shared" ref="D19:J19" si="6">SUM(D25,D23,D21)</f>
        <v>1132416.9974342526</v>
      </c>
      <c r="E19" s="1478">
        <f t="shared" si="6"/>
        <v>1727873.2160431684</v>
      </c>
      <c r="F19" s="1478">
        <f t="shared" si="6"/>
        <v>2266040.8175472938</v>
      </c>
      <c r="G19" s="1478">
        <f t="shared" si="6"/>
        <v>2804732.2512268694</v>
      </c>
      <c r="H19" s="1478">
        <f t="shared" si="6"/>
        <v>3344266.4187659877</v>
      </c>
      <c r="I19" s="1478">
        <f t="shared" si="6"/>
        <v>3884968.9503876292</v>
      </c>
      <c r="J19" s="1479">
        <f t="shared" si="6"/>
        <v>4427172.9027154818</v>
      </c>
      <c r="K19" s="1345">
        <f>SUM(C19:J19)</f>
        <v>19863438.499748312</v>
      </c>
    </row>
    <row r="20" spans="2:11">
      <c r="B20" s="1437" t="s">
        <v>1647</v>
      </c>
      <c r="C20" s="1506">
        <f>'B_01 Benefity súhrn'!E53</f>
        <v>13798347.281381484</v>
      </c>
      <c r="D20" s="1506">
        <f>'B_01 Benefity súhrn'!F53</f>
        <v>56620849.871712632</v>
      </c>
      <c r="E20" s="1506">
        <f>'B_01 Benefity súhrn'!G53</f>
        <v>86393660.802158415</v>
      </c>
      <c r="F20" s="1506">
        <f>'B_01 Benefity súhrn'!H53</f>
        <v>113302040.8773647</v>
      </c>
      <c r="G20" s="1506">
        <f>'B_01 Benefity súhrn'!I53</f>
        <v>140236612.56134346</v>
      </c>
      <c r="H20" s="1506">
        <f>'B_01 Benefity súhrn'!J53</f>
        <v>167213320.93829939</v>
      </c>
      <c r="I20" s="1506">
        <f>'B_01 Benefity súhrn'!K53</f>
        <v>194248447.51938146</v>
      </c>
      <c r="J20" s="1642">
        <f>'B_01 Benefity súhrn'!L53</f>
        <v>221358645.13577411</v>
      </c>
    </row>
    <row r="21" spans="2:11" ht="12.75" thickBot="1">
      <c r="B21" s="1449" t="s">
        <v>1703</v>
      </c>
      <c r="C21" s="1664">
        <f>C20*$C$4</f>
        <v>275966.9456276297</v>
      </c>
      <c r="D21" s="1453">
        <f t="shared" ref="D21:J21" si="7">D20*$C$4</f>
        <v>1132416.9974342526</v>
      </c>
      <c r="E21" s="1453">
        <f t="shared" si="7"/>
        <v>1727873.2160431684</v>
      </c>
      <c r="F21" s="1453">
        <f t="shared" si="7"/>
        <v>2266040.8175472938</v>
      </c>
      <c r="G21" s="1453">
        <f t="shared" si="7"/>
        <v>2804732.2512268694</v>
      </c>
      <c r="H21" s="1453">
        <f t="shared" si="7"/>
        <v>3344266.4187659877</v>
      </c>
      <c r="I21" s="1453">
        <f t="shared" si="7"/>
        <v>3884968.9503876292</v>
      </c>
      <c r="J21" s="1454">
        <f t="shared" si="7"/>
        <v>4427172.9027154818</v>
      </c>
    </row>
    <row r="22" spans="2:11" hidden="1">
      <c r="B22" s="1436" t="s">
        <v>1657</v>
      </c>
      <c r="C22" s="1662">
        <f>(C20*'B_02 Benefity varianty'!D$109*'B_02 Benefity varianty'!D$97)+(C20*'B_02 Benefity varianty'!D$110*'B_02 Benefity varianty'!D$98)+(C20*'B_02 Benefity varianty'!D$111*'B_02 Benefity varianty'!D$99)+(C20*'B_02 Benefity varianty'!D$112*'B_02 Benefity varianty'!D$100)+(C20*'B_02 Benefity varianty'!D$113*'B_02 Benefity varianty'!D$101)</f>
        <v>13813988.257081196</v>
      </c>
      <c r="D22" s="1662">
        <f>(D20*'B_02 Benefity varianty'!E$109*'B_02 Benefity varianty'!E$97)+(D20*'B_02 Benefity varianty'!E$110*'B_02 Benefity varianty'!E$98)+(D20*'B_02 Benefity varianty'!E$111*'B_02 Benefity varianty'!E$99)+(D20*'B_02 Benefity varianty'!E$112*'B_02 Benefity varianty'!E$100)+(D20*'B_02 Benefity varianty'!E$113*'B_02 Benefity varianty'!E$101)</f>
        <v>57218223.054359064</v>
      </c>
      <c r="E22" s="1662">
        <f>(E20*'B_02 Benefity varianty'!F$109*'B_02 Benefity varianty'!F$97)+(E20*'B_02 Benefity varianty'!F$110*'B_02 Benefity varianty'!F$98)+(E20*'B_02 Benefity varianty'!F$111*'B_02 Benefity varianty'!F$99)+(E20*'B_02 Benefity varianty'!F$112*'B_02 Benefity varianty'!F$100)+(E20*'B_02 Benefity varianty'!F$113*'B_02 Benefity varianty'!F$101)</f>
        <v>88130245.758916691</v>
      </c>
      <c r="F22" s="1662">
        <f>(F20*'B_02 Benefity varianty'!G$109*'B_02 Benefity varianty'!G$97)+(F20*'B_02 Benefity varianty'!G$110*'B_02 Benefity varianty'!G$98)+(F20*'B_02 Benefity varianty'!G$111*'B_02 Benefity varianty'!G$99)+(F20*'B_02 Benefity varianty'!G$112*'B_02 Benefity varianty'!G$100)+(F20*'B_02 Benefity varianty'!G$113*'B_02 Benefity varianty'!G$101)</f>
        <v>116676756.66251408</v>
      </c>
      <c r="G22" s="1662">
        <f>(G20*'B_02 Benefity varianty'!H$109*'B_02 Benefity varianty'!H$97)+(G20*'B_02 Benefity varianty'!H$110*'B_02 Benefity varianty'!H$98)+(G20*'B_02 Benefity varianty'!H$111*'B_02 Benefity varianty'!H$99)+(G20*'B_02 Benefity varianty'!H$112*'B_02 Benefity varianty'!H$100)+(G20*'B_02 Benefity varianty'!H$113*'B_02 Benefity varianty'!H$101)</f>
        <v>145790495.4801845</v>
      </c>
      <c r="H22" s="1662">
        <f>(H20*'B_02 Benefity varianty'!I$109*'B_02 Benefity varianty'!I$97)+(H20*'B_02 Benefity varianty'!I$110*'B_02 Benefity varianty'!I$98)+(H20*'B_02 Benefity varianty'!I$111*'B_02 Benefity varianty'!I$99)+(H20*'B_02 Benefity varianty'!I$112*'B_02 Benefity varianty'!I$100)+(H20*'B_02 Benefity varianty'!I$113*'B_02 Benefity varianty'!I$101)</f>
        <v>175499889.77035594</v>
      </c>
      <c r="I22" s="1662">
        <f>(I20*'B_02 Benefity varianty'!J$109*'B_02 Benefity varianty'!J$97)+(I20*'B_02 Benefity varianty'!J$110*'B_02 Benefity varianty'!J$98)+(I20*'B_02 Benefity varianty'!J$111*'B_02 Benefity varianty'!J$99)+(I20*'B_02 Benefity varianty'!J$112*'B_02 Benefity varianty'!J$100)+(I20*'B_02 Benefity varianty'!J$113*'B_02 Benefity varianty'!J$101)</f>
        <v>205834445.22035867</v>
      </c>
      <c r="J22" s="1663">
        <f>(J20*'B_02 Benefity varianty'!K$109*'B_02 Benefity varianty'!K$97)+(J20*'B_02 Benefity varianty'!K$110*'B_02 Benefity varianty'!K$98)+(J20*'B_02 Benefity varianty'!K$111*'B_02 Benefity varianty'!K$99)+(J20*'B_02 Benefity varianty'!K$112*'B_02 Benefity varianty'!K$100)+(J20*'B_02 Benefity varianty'!K$113*'B_02 Benefity varianty'!K$101)</f>
        <v>236824824.61655673</v>
      </c>
    </row>
    <row r="23" spans="2:11" hidden="1">
      <c r="B23" s="1437" t="s">
        <v>1650</v>
      </c>
      <c r="C23" s="1450">
        <f>C22*$C$5</f>
        <v>0</v>
      </c>
      <c r="D23" s="1368">
        <f t="shared" ref="D23:J23" si="8">D22*$C$5</f>
        <v>0</v>
      </c>
      <c r="E23" s="1368">
        <f t="shared" si="8"/>
        <v>0</v>
      </c>
      <c r="F23" s="1368">
        <f t="shared" si="8"/>
        <v>0</v>
      </c>
      <c r="G23" s="1368">
        <f t="shared" si="8"/>
        <v>0</v>
      </c>
      <c r="H23" s="1368">
        <f t="shared" si="8"/>
        <v>0</v>
      </c>
      <c r="I23" s="1368">
        <f t="shared" si="8"/>
        <v>0</v>
      </c>
      <c r="J23" s="1451">
        <f t="shared" si="8"/>
        <v>0</v>
      </c>
    </row>
    <row r="24" spans="2:11" hidden="1">
      <c r="B24" s="1437" t="s">
        <v>1658</v>
      </c>
      <c r="C24" s="1506">
        <f>'B_01 Benefity súhrn'!E52</f>
        <v>42456.453173481488</v>
      </c>
      <c r="D24" s="1507">
        <f>'B_01 Benefity súhrn'!F52-'B_01 Benefity súhrn'!E52</f>
        <v>131761.54643178816</v>
      </c>
      <c r="E24" s="1507">
        <f>'B_01 Benefity súhrn'!G52-'B_01 Benefity súhrn'!F52</f>
        <v>91608.649016756273</v>
      </c>
      <c r="F24" s="1507">
        <f>'B_01 Benefity súhrn'!H52-'B_01 Benefity súhrn'!G52</f>
        <v>82795.015616019315</v>
      </c>
      <c r="G24" s="1507">
        <f>'B_01 Benefity súhrn'!I52-'B_01 Benefity súhrn'!H52</f>
        <v>82875.605181473133</v>
      </c>
      <c r="H24" s="1507">
        <f>'B_01 Benefity súhrn'!J52-'B_01 Benefity súhrn'!I52</f>
        <v>83005.256544479751</v>
      </c>
      <c r="I24" s="1507">
        <f>'B_01 Benefity súhrn'!K52-'B_01 Benefity súhrn'!J52</f>
        <v>83185.004864867951</v>
      </c>
      <c r="J24" s="1508">
        <f>'B_01 Benefity súhrn'!L52-'B_01 Benefity súhrn'!K52</f>
        <v>83415.992665823549</v>
      </c>
    </row>
    <row r="25" spans="2:11" hidden="1">
      <c r="B25" s="1449" t="s">
        <v>1648</v>
      </c>
      <c r="C25" s="1452">
        <f>C24*$C$6</f>
        <v>0</v>
      </c>
      <c r="D25" s="1453">
        <f t="shared" ref="D25:J25" si="9">D24*$C$6</f>
        <v>0</v>
      </c>
      <c r="E25" s="1453">
        <f t="shared" si="9"/>
        <v>0</v>
      </c>
      <c r="F25" s="1453">
        <f t="shared" si="9"/>
        <v>0</v>
      </c>
      <c r="G25" s="1453">
        <f t="shared" si="9"/>
        <v>0</v>
      </c>
      <c r="H25" s="1453">
        <f t="shared" si="9"/>
        <v>0</v>
      </c>
      <c r="I25" s="1453">
        <f t="shared" si="9"/>
        <v>0</v>
      </c>
      <c r="J25" s="1454">
        <f t="shared" si="9"/>
        <v>0</v>
      </c>
    </row>
  </sheetData>
  <pageMargins left="0.7" right="0.7" top="0.75" bottom="0.75" header="0.3" footer="0.3"/>
  <pageSetup paperSize="9" orientation="portrait"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O102"/>
  <sheetViews>
    <sheetView zoomScale="130" zoomScaleNormal="130" workbookViewId="0">
      <selection activeCell="E25" sqref="E25"/>
    </sheetView>
  </sheetViews>
  <sheetFormatPr defaultColWidth="8.85546875" defaultRowHeight="13.5"/>
  <cols>
    <col min="1" max="1" width="12.5703125" style="382" customWidth="1"/>
    <col min="2" max="2" width="27.140625" style="382" bestFit="1" customWidth="1"/>
    <col min="3" max="4" width="7.7109375" style="382" customWidth="1"/>
    <col min="5" max="12" width="13.7109375" style="382" customWidth="1"/>
    <col min="13" max="13" width="14" style="382" customWidth="1"/>
    <col min="14" max="14" width="11" style="382" customWidth="1"/>
    <col min="15" max="16384" width="8.85546875" style="382"/>
  </cols>
  <sheetData>
    <row r="1" spans="1:15">
      <c r="A1" s="383" t="s">
        <v>532</v>
      </c>
    </row>
    <row r="2" spans="1:15">
      <c r="A2" s="383"/>
    </row>
    <row r="3" spans="1:15" ht="14.45" customHeight="1">
      <c r="B3" s="789" t="s">
        <v>1253</v>
      </c>
    </row>
    <row r="4" spans="1:15">
      <c r="A4" s="383" t="s">
        <v>680</v>
      </c>
    </row>
    <row r="5" spans="1:15" ht="14.25" thickBot="1"/>
    <row r="6" spans="1:15">
      <c r="A6" s="382" t="s">
        <v>992</v>
      </c>
      <c r="B6" s="690" t="s">
        <v>530</v>
      </c>
      <c r="C6" s="691">
        <v>2024</v>
      </c>
      <c r="D6" s="691">
        <v>2025</v>
      </c>
      <c r="E6" s="691">
        <v>2026</v>
      </c>
      <c r="F6" s="691">
        <v>2027</v>
      </c>
      <c r="G6" s="691">
        <v>2028</v>
      </c>
      <c r="H6" s="691">
        <v>2029</v>
      </c>
      <c r="I6" s="691">
        <v>2030</v>
      </c>
      <c r="J6" s="691">
        <v>2031</v>
      </c>
      <c r="K6" s="691">
        <v>2032</v>
      </c>
      <c r="L6" s="691">
        <v>2033</v>
      </c>
      <c r="M6" s="697" t="s">
        <v>881</v>
      </c>
      <c r="N6" s="382" t="s">
        <v>1347</v>
      </c>
    </row>
    <row r="7" spans="1:15">
      <c r="B7" s="687" t="s">
        <v>416</v>
      </c>
      <c r="C7" s="688"/>
      <c r="D7" s="688"/>
      <c r="E7" s="689">
        <f>'B_02 Benefity varianty'!D206</f>
        <v>96557.894312530756</v>
      </c>
      <c r="F7" s="689">
        <f>'B_02 Benefity varianty'!E206</f>
        <v>782165.68911910057</v>
      </c>
      <c r="G7" s="689">
        <f>'B_02 Benefity varianty'!F206</f>
        <v>1584377.9450083971</v>
      </c>
      <c r="H7" s="689">
        <f>'B_02 Benefity varianty'!G206</f>
        <v>1605087.5896256566</v>
      </c>
      <c r="I7" s="689">
        <f>'B_02 Benefity varianty'!H206</f>
        <v>1626481.8544480801</v>
      </c>
      <c r="J7" s="689">
        <f>'B_02 Benefity varianty'!I206</f>
        <v>1648582.1972869635</v>
      </c>
      <c r="K7" s="689">
        <f>'B_02 Benefity varianty'!J206</f>
        <v>1671409.941403389</v>
      </c>
      <c r="L7" s="689">
        <f>'B_02 Benefity varianty'!K206</f>
        <v>1694986.2219521999</v>
      </c>
      <c r="M7" s="698">
        <f t="shared" ref="M7:M8" si="0">SUM(E7:L7)</f>
        <v>10709649.333156317</v>
      </c>
      <c r="N7" s="933">
        <f>'B_01 Benefity súhrn'!M7/SUM('B_02 Benefity varianty'!$D$129:$K$129)</f>
        <v>4.7960513740925755E-3</v>
      </c>
    </row>
    <row r="8" spans="1:15">
      <c r="B8" s="685" t="s">
        <v>875</v>
      </c>
      <c r="C8" s="686"/>
      <c r="D8" s="686"/>
      <c r="E8" s="689">
        <f>'B_02 Benefity varianty'!D207</f>
        <v>777426.83049654402</v>
      </c>
      <c r="F8" s="689">
        <f>'B_02 Benefity varianty'!E207</f>
        <v>1530573.8809696436</v>
      </c>
      <c r="G8" s="689">
        <f>'B_02 Benefity varianty'!F207</f>
        <v>1503029.3531721057</v>
      </c>
      <c r="H8" s="689">
        <f>'B_02 Benefity varianty'!G207</f>
        <v>1489385.6204936486</v>
      </c>
      <c r="I8" s="689">
        <f>'B_02 Benefity varianty'!H207</f>
        <v>1475870.577977838</v>
      </c>
      <c r="J8" s="689">
        <f>'B_02 Benefity varianty'!I207</f>
        <v>1462480.6312959427</v>
      </c>
      <c r="K8" s="689">
        <f>'B_02 Benefity varianty'!J207</f>
        <v>1449212.3369619483</v>
      </c>
      <c r="L8" s="689">
        <f>'B_02 Benefity varianty'!K207</f>
        <v>1436062.398629901</v>
      </c>
      <c r="M8" s="699">
        <f t="shared" si="0"/>
        <v>11124041.62999757</v>
      </c>
      <c r="N8" s="935">
        <f>M8/SUM('B_02 Benefity varianty'!$D$139:$K$139)</f>
        <v>0.22710718936430624</v>
      </c>
      <c r="O8" s="382" t="s">
        <v>1353</v>
      </c>
    </row>
    <row r="9" spans="1:15">
      <c r="B9" s="685" t="s">
        <v>880</v>
      </c>
      <c r="C9" s="686"/>
      <c r="D9" s="686"/>
      <c r="E9" s="689">
        <f>'B_02 Benefity varianty'!D208</f>
        <v>204375.92388712207</v>
      </c>
      <c r="F9" s="689">
        <f>'B_02 Benefity varianty'!E208</f>
        <v>816819.86033112416</v>
      </c>
      <c r="G9" s="689">
        <f>'B_02 Benefity varianty'!F208</f>
        <v>1225248.332627831</v>
      </c>
      <c r="H9" s="689">
        <f>'B_02 Benefity varianty'!G208</f>
        <v>1629600.6030235304</v>
      </c>
      <c r="I9" s="689">
        <f>'B_02 Benefity varianty'!H208</f>
        <v>2032257.6790206779</v>
      </c>
      <c r="J9" s="689">
        <f>'B_02 Benefity varianty'!I208</f>
        <v>2433422.2977178949</v>
      </c>
      <c r="K9" s="689">
        <f>'B_02 Benefity varianty'!J208</f>
        <v>2833298.0307596321</v>
      </c>
      <c r="L9" s="689">
        <f>'B_02 Benefity varianty'!K208</f>
        <v>3232089.5437045991</v>
      </c>
      <c r="M9" s="699">
        <f>SUM(E9:L9)</f>
        <v>14407112.271072412</v>
      </c>
      <c r="N9" s="943">
        <f>M9/SUM('B_02 Benefity varianty'!$D$136:$K$137)</f>
        <v>2.0501058162834106E-3</v>
      </c>
      <c r="O9" s="382" t="s">
        <v>1350</v>
      </c>
    </row>
    <row r="10" spans="1:15">
      <c r="B10" s="685" t="s">
        <v>417</v>
      </c>
      <c r="C10" s="686"/>
      <c r="D10" s="686"/>
      <c r="E10" s="689">
        <f>'B_02 Benefity varianty'!D209</f>
        <v>303006.0571846962</v>
      </c>
      <c r="F10" s="689">
        <f>'B_02 Benefity varianty'!E209</f>
        <v>2443553.8105881214</v>
      </c>
      <c r="G10" s="689">
        <f>'B_02 Benefity varianty'!F209</f>
        <v>4926105.0056867599</v>
      </c>
      <c r="H10" s="689">
        <f>'B_02 Benefity varianty'!G209</f>
        <v>4965084.6164004803</v>
      </c>
      <c r="I10" s="689">
        <f>'B_02 Benefity varianty'!H209</f>
        <v>5004041.8703827858</v>
      </c>
      <c r="J10" s="689">
        <f>'B_02 Benefity varianty'!I209</f>
        <v>5042972.0502932072</v>
      </c>
      <c r="K10" s="689">
        <f>'B_02 Benefity varianty'!J209</f>
        <v>5081870.3008747101</v>
      </c>
      <c r="L10" s="689">
        <f>'B_02 Benefity varianty'!K209</f>
        <v>5120731.6255238056</v>
      </c>
      <c r="M10" s="699">
        <f t="shared" ref="M10:M13" si="1">SUM(E10:L10)</f>
        <v>32887365.336934566</v>
      </c>
      <c r="N10" s="933">
        <f>M10/SUM('B_02 Benefity varianty'!$D$142:$K$142)</f>
        <v>2.2963479465096066E-3</v>
      </c>
    </row>
    <row r="11" spans="1:15">
      <c r="B11" s="685" t="s">
        <v>418</v>
      </c>
      <c r="C11" s="686"/>
      <c r="D11" s="686"/>
      <c r="E11" s="689">
        <f>'B_02 Benefity varianty'!D210</f>
        <v>18365.039651304483</v>
      </c>
      <c r="F11" s="689">
        <f>'B_02 Benefity varianty'!E210</f>
        <v>148489.74143105745</v>
      </c>
      <c r="G11" s="689">
        <f>'B_02 Benefity varianty'!F210</f>
        <v>299628.71506869793</v>
      </c>
      <c r="H11" s="689">
        <f>'B_02 Benefity varianty'!G210</f>
        <v>301781.41318637133</v>
      </c>
      <c r="I11" s="689">
        <f>'B_02 Benefity varianty'!H210</f>
        <v>303431.48162317276</v>
      </c>
      <c r="J11" s="689">
        <f>'B_02 Benefity varianty'!I210</f>
        <v>304479.69168496132</v>
      </c>
      <c r="K11" s="689">
        <f>'B_02 Benefity varianty'!J210</f>
        <v>304826.21080815792</v>
      </c>
      <c r="L11" s="689">
        <f>'B_02 Benefity varianty'!K210</f>
        <v>304370.90723514557</v>
      </c>
      <c r="M11" s="699">
        <f t="shared" si="1"/>
        <v>1985373.2006888688</v>
      </c>
      <c r="N11" s="933">
        <f>M11/SUM('B_02 Benefity varianty'!$D$145:$K$145)</f>
        <v>9.0503571591335583E-4</v>
      </c>
    </row>
    <row r="12" spans="1:15">
      <c r="B12" s="685" t="s">
        <v>419</v>
      </c>
      <c r="C12" s="686"/>
      <c r="D12" s="686"/>
      <c r="E12" s="689">
        <f>'B_02 Benefity varianty'!D211</f>
        <v>21848.850701272488</v>
      </c>
      <c r="F12" s="689">
        <f>'B_02 Benefity varianty'!E211</f>
        <v>176500.32537040114</v>
      </c>
      <c r="G12" s="689">
        <f>'B_02 Benefity varianty'!F211</f>
        <v>356401.75633043051</v>
      </c>
      <c r="H12" s="689">
        <f>'B_02 Benefity varianty'!G211</f>
        <v>359784.16763579845</v>
      </c>
      <c r="I12" s="689">
        <f>'B_02 Benefity varianty'!H211</f>
        <v>363147.10926583409</v>
      </c>
      <c r="J12" s="689">
        <f>'B_02 Benefity varianty'!I211</f>
        <v>366486.66473400593</v>
      </c>
      <c r="K12" s="689">
        <f>'B_02 Benefity varianty'!J211</f>
        <v>369798.93060880899</v>
      </c>
      <c r="L12" s="689">
        <f>'B_02 Benefity varianty'!K211</f>
        <v>373080.01959592104</v>
      </c>
      <c r="M12" s="699">
        <f t="shared" si="1"/>
        <v>2387047.8242424726</v>
      </c>
      <c r="N12" s="933">
        <f>M12/SUM('B_02 Benefity varianty'!$D$148:$K$148)</f>
        <v>1.7656107001994658E-3</v>
      </c>
    </row>
    <row r="13" spans="1:15">
      <c r="B13" s="692" t="s">
        <v>420</v>
      </c>
      <c r="C13" s="693"/>
      <c r="D13" s="693"/>
      <c r="E13" s="689">
        <f>'B_02 Benefity varianty'!D212</f>
        <v>178586.01309251785</v>
      </c>
      <c r="F13" s="689">
        <f>'B_02 Benefity varianty'!E212</f>
        <v>1430364.8493156433</v>
      </c>
      <c r="G13" s="689">
        <f>'B_02 Benefity varianty'!F212</f>
        <v>2859875.2974472046</v>
      </c>
      <c r="H13" s="689">
        <f>'B_02 Benefity varianty'!G212</f>
        <v>2854870.0083920956</v>
      </c>
      <c r="I13" s="689">
        <f>'B_02 Benefity varianty'!H212</f>
        <v>2845772.1599888802</v>
      </c>
      <c r="J13" s="689">
        <f>'B_02 Benefity varianty'!I212</f>
        <v>2831768.5786156654</v>
      </c>
      <c r="K13" s="689">
        <f>'B_02 Benefity varianty'!J212</f>
        <v>2812062.5002472401</v>
      </c>
      <c r="L13" s="689">
        <f>'B_02 Benefity varianty'!K212</f>
        <v>2785874.046299696</v>
      </c>
      <c r="M13" s="700">
        <f t="shared" si="1"/>
        <v>18599173.453398943</v>
      </c>
      <c r="N13" s="933">
        <f>M13/SUM('B_02 Benefity varianty'!$D$151:$K$151)</f>
        <v>2.0809756205247888E-3</v>
      </c>
    </row>
    <row r="14" spans="1:15" ht="14.25" thickBot="1">
      <c r="B14" s="694" t="s">
        <v>845</v>
      </c>
      <c r="C14" s="695"/>
      <c r="D14" s="695"/>
      <c r="E14" s="696">
        <f t="shared" ref="E14:M14" si="2">SUM(E7:E13)</f>
        <v>1600166.6093259878</v>
      </c>
      <c r="F14" s="696">
        <f t="shared" si="2"/>
        <v>7328468.1571250912</v>
      </c>
      <c r="G14" s="696">
        <f t="shared" si="2"/>
        <v>12754666.405341428</v>
      </c>
      <c r="H14" s="696">
        <f t="shared" si="2"/>
        <v>13205594.018757582</v>
      </c>
      <c r="I14" s="696">
        <f t="shared" si="2"/>
        <v>13651002.732707269</v>
      </c>
      <c r="J14" s="696">
        <f t="shared" si="2"/>
        <v>14090192.11162864</v>
      </c>
      <c r="K14" s="696">
        <f t="shared" si="2"/>
        <v>14522478.251663886</v>
      </c>
      <c r="L14" s="696">
        <f t="shared" si="2"/>
        <v>14947194.762941267</v>
      </c>
      <c r="M14" s="701">
        <f t="shared" si="2"/>
        <v>92099763.049491152</v>
      </c>
    </row>
    <row r="15" spans="1:15">
      <c r="B15" s="382" t="s">
        <v>1348</v>
      </c>
      <c r="E15" s="937">
        <f>'B_02 Benefity varianty'!$F$39*'B_02 Benefity varianty'!D76*(1+'B_02 Benefity varianty'!D77)</f>
        <v>6169.2596249999997</v>
      </c>
      <c r="F15" s="937">
        <f>'B_02 Benefity varianty'!$F$39*'B_02 Benefity varianty'!E76*(1+'B_02 Benefity varianty'!E77)</f>
        <v>24848.577000000001</v>
      </c>
      <c r="G15" s="937">
        <f>'B_02 Benefity varianty'!$F$39*'B_02 Benefity varianty'!F76*(1+'B_02 Benefity varianty'!F77)</f>
        <v>50040.230999999992</v>
      </c>
      <c r="H15" s="937">
        <f>'B_02 Benefity varianty'!$F$39*'B_02 Benefity varianty'!G76*(1+'B_02 Benefity varianty'!G77)</f>
        <v>50383.308000000005</v>
      </c>
      <c r="I15" s="937">
        <f>'B_02 Benefity varianty'!$F$39*'B_02 Benefity varianty'!H76*(1+'B_02 Benefity varianty'!H77)</f>
        <v>50726.384999999995</v>
      </c>
      <c r="J15" s="937">
        <f>'B_02 Benefity varianty'!$F$39*'B_02 Benefity varianty'!I76*(1+'B_02 Benefity varianty'!I77)</f>
        <v>51069.462</v>
      </c>
      <c r="K15" s="937">
        <f>'B_02 Benefity varianty'!$F$39*'B_02 Benefity varianty'!J76*(1+'B_02 Benefity varianty'!J77)</f>
        <v>51412.538999999997</v>
      </c>
      <c r="L15" s="937">
        <f>'B_02 Benefity varianty'!$F$39*'B_02 Benefity varianty'!K76*(1+'B_02 Benefity varianty'!K77)</f>
        <v>51755.616000000002</v>
      </c>
    </row>
    <row r="16" spans="1:15">
      <c r="B16" s="382" t="s">
        <v>266</v>
      </c>
      <c r="E16" s="937">
        <f>'B_02 Benefity varianty'!D167</f>
        <v>200500.93781249999</v>
      </c>
      <c r="F16" s="937">
        <f>'B_02 Benefity varianty'!E167</f>
        <v>1615157.5050000001</v>
      </c>
      <c r="G16" s="937">
        <f>'B_02 Benefity varianty'!F167</f>
        <v>3252615.0149999997</v>
      </c>
      <c r="H16" s="937">
        <f>'B_02 Benefity varianty'!G167</f>
        <v>3274915.02</v>
      </c>
      <c r="I16" s="937">
        <f>'B_02 Benefity varianty'!H167</f>
        <v>3297215.0249999999</v>
      </c>
      <c r="J16" s="937">
        <f>'B_02 Benefity varianty'!I167</f>
        <v>3319515.0300000003</v>
      </c>
      <c r="K16" s="937">
        <f>'B_02 Benefity varianty'!J167</f>
        <v>3341815.0349999997</v>
      </c>
      <c r="L16" s="937">
        <f>'B_02 Benefity varianty'!K167</f>
        <v>3364115.04</v>
      </c>
    </row>
    <row r="17" spans="1:14">
      <c r="B17" s="382" t="s">
        <v>1349</v>
      </c>
      <c r="E17" s="937">
        <f>'B_02 Benefity varianty'!D180</f>
        <v>5927747.1317258514</v>
      </c>
      <c r="F17" s="937">
        <f>'B_02 Benefity varianty'!E180</f>
        <v>47751623.368977271</v>
      </c>
      <c r="G17" s="937">
        <f>'B_02 Benefity varianty'!F180</f>
        <v>96162539.368295446</v>
      </c>
      <c r="H17" s="937">
        <f>'B_02 Benefity varianty'!G180</f>
        <v>96821831.998636365</v>
      </c>
      <c r="I17" s="937">
        <f>'B_02 Benefity varianty'!H180</f>
        <v>97481124.628977269</v>
      </c>
      <c r="J17" s="937">
        <f>'B_02 Benefity varianty'!I180</f>
        <v>98140417.259318188</v>
      </c>
      <c r="K17" s="937">
        <f>'B_02 Benefity varianty'!J180</f>
        <v>98799709.889659077</v>
      </c>
      <c r="L17" s="937">
        <f>'B_02 Benefity varianty'!K180</f>
        <v>99459002.519999996</v>
      </c>
    </row>
    <row r="18" spans="1:14">
      <c r="B18" s="382" t="s">
        <v>1351</v>
      </c>
      <c r="E18" s="937">
        <f>E19/'B_02 Benefity varianty'!$F$40</f>
        <v>25364.059082763892</v>
      </c>
      <c r="F18" s="937">
        <f>F19/'B_02 Benefity varianty'!$F$40</f>
        <v>103646.19042196177</v>
      </c>
      <c r="G18" s="937">
        <f>G19/'B_02 Benefity varianty'!$F$40</f>
        <v>157714.55694961554</v>
      </c>
      <c r="H18" s="937">
        <f>H19/'B_02 Benefity varianty'!$F$40</f>
        <v>207379.3527780271</v>
      </c>
      <c r="I18" s="937">
        <f>I19/'B_02 Benefity varianty'!$F$40</f>
        <v>257092.50234571099</v>
      </c>
      <c r="J18" s="937">
        <f>J19/'B_02 Benefity varianty'!$F$40</f>
        <v>306883.44273119885</v>
      </c>
      <c r="K18" s="937">
        <f>K19/'B_02 Benefity varianty'!$F$40</f>
        <v>356782.23210891971</v>
      </c>
      <c r="L18" s="937">
        <f>L19/'B_02 Benefity varianty'!$F$40</f>
        <v>406819.61416721373</v>
      </c>
    </row>
    <row r="19" spans="1:14">
      <c r="B19" s="382" t="s">
        <v>1352</v>
      </c>
      <c r="E19" s="937">
        <f>((('B_02 Benefity varianty'!D91*'B_02 Benefity varianty'!$F$45)/2)+('B_02 Benefity varianty'!D91*(1-'B_02 Benefity varianty'!$F$45)))*'B_02 Benefity varianty'!D75+((E16*'B_02 Benefity varianty'!$F$45/2)+(E16*(1-'B_02 Benefity varianty'!$F$45)))</f>
        <v>8243319.2018982647</v>
      </c>
      <c r="F19" s="937">
        <f>((('B_02 Benefity varianty'!E91*'B_02 Benefity varianty'!$F$45)/2)+('B_02 Benefity varianty'!E91*(1-'B_02 Benefity varianty'!$F$45)))*'B_02 Benefity varianty'!E75+((F16*'B_02 Benefity varianty'!$F$45/2)+(F16*(1-'B_02 Benefity varianty'!$F$45)))</f>
        <v>33685011.887137577</v>
      </c>
      <c r="G19" s="937">
        <f>((('B_02 Benefity varianty'!F91*'B_02 Benefity varianty'!$F$45)/2)+('B_02 Benefity varianty'!F91*(1-'B_02 Benefity varianty'!$F$45)))*'B_02 Benefity varianty'!F75+((G16*'B_02 Benefity varianty'!$F$45/2)+(G16*(1-'B_02 Benefity varianty'!$F$45)))</f>
        <v>51257231.008625053</v>
      </c>
      <c r="H19" s="937">
        <f>((('B_02 Benefity varianty'!G91*'B_02 Benefity varianty'!$F$45)/2)+('B_02 Benefity varianty'!G91*(1-'B_02 Benefity varianty'!$F$45)))*'B_02 Benefity varianty'!G75+((H16*'B_02 Benefity varianty'!$F$45/2)+(H16*(1-'B_02 Benefity varianty'!$F$45)))</f>
        <v>67398289.652858809</v>
      </c>
      <c r="I19" s="937">
        <f>((('B_02 Benefity varianty'!H91*'B_02 Benefity varianty'!$F$45)/2)+('B_02 Benefity varianty'!H91*(1-'B_02 Benefity varianty'!$F$45)))*'B_02 Benefity varianty'!H75+((I16*'B_02 Benefity varianty'!$F$45/2)+(I16*(1-'B_02 Benefity varianty'!$F$45)))</f>
        <v>83555063.262356073</v>
      </c>
      <c r="J19" s="937">
        <f>((('B_02 Benefity varianty'!I91*'B_02 Benefity varianty'!$F$45)/2)+('B_02 Benefity varianty'!I91*(1-'B_02 Benefity varianty'!$F$45)))*'B_02 Benefity varianty'!I75+((J16*'B_02 Benefity varianty'!$F$45/2)+(J16*(1-'B_02 Benefity varianty'!$F$45)))</f>
        <v>99737118.887639627</v>
      </c>
      <c r="K19" s="937">
        <f>((('B_02 Benefity varianty'!J91*'B_02 Benefity varianty'!$F$45)/2)+('B_02 Benefity varianty'!J91*(1-'B_02 Benefity varianty'!$F$45)))*'B_02 Benefity varianty'!J75+((K16*'B_02 Benefity varianty'!$F$45/2)+(K16*(1-'B_02 Benefity varianty'!$F$45)))</f>
        <v>115954225.43539891</v>
      </c>
      <c r="L19" s="937">
        <f>((('B_02 Benefity varianty'!K91*'B_02 Benefity varianty'!$F$45)/2)+('B_02 Benefity varianty'!K91*(1-'B_02 Benefity varianty'!$F$45)))*'B_02 Benefity varianty'!K75+((L16*'B_02 Benefity varianty'!$F$45/2)+(L16*(1-'B_02 Benefity varianty'!$F$45)))</f>
        <v>132216374.60434446</v>
      </c>
    </row>
    <row r="20" spans="1:14">
      <c r="E20" s="946"/>
      <c r="F20" s="946"/>
      <c r="G20" s="946"/>
      <c r="H20" s="946"/>
      <c r="I20" s="946"/>
      <c r="J20" s="946"/>
      <c r="K20" s="946"/>
      <c r="L20" s="946"/>
    </row>
    <row r="21" spans="1:14">
      <c r="E21" s="946"/>
      <c r="F21" s="946"/>
      <c r="G21" s="946"/>
      <c r="H21" s="946"/>
      <c r="I21" s="946"/>
      <c r="J21" s="946"/>
      <c r="K21" s="946"/>
      <c r="L21" s="948">
        <f>'B_02 Benefity varianty'!K161*0.24</f>
        <v>146000996.84414434</v>
      </c>
      <c r="M21" s="382">
        <f>L21/L18/325</f>
        <v>1.10425805639468</v>
      </c>
    </row>
    <row r="22" spans="1:14">
      <c r="A22" s="383" t="s">
        <v>681</v>
      </c>
      <c r="H22" s="935"/>
      <c r="I22" s="947"/>
      <c r="J22" s="947"/>
      <c r="K22" s="947"/>
      <c r="L22" s="947"/>
    </row>
    <row r="23" spans="1:14" ht="14.25" thickBot="1">
      <c r="E23" s="384"/>
      <c r="F23" s="384"/>
      <c r="G23" s="384"/>
      <c r="H23" s="384"/>
      <c r="I23" s="384"/>
      <c r="J23" s="384"/>
      <c r="K23" s="384"/>
      <c r="L23" s="384"/>
      <c r="M23" s="384"/>
    </row>
    <row r="24" spans="1:14">
      <c r="A24" s="382" t="s">
        <v>992</v>
      </c>
      <c r="B24" s="690" t="s">
        <v>530</v>
      </c>
      <c r="C24" s="691">
        <v>2024</v>
      </c>
      <c r="D24" s="691">
        <v>2025</v>
      </c>
      <c r="E24" s="691">
        <v>2026</v>
      </c>
      <c r="F24" s="691">
        <v>2027</v>
      </c>
      <c r="G24" s="691">
        <v>2028</v>
      </c>
      <c r="H24" s="691">
        <v>2029</v>
      </c>
      <c r="I24" s="691">
        <v>2030</v>
      </c>
      <c r="J24" s="691">
        <v>2031</v>
      </c>
      <c r="K24" s="691">
        <v>2032</v>
      </c>
      <c r="L24" s="691">
        <v>2033</v>
      </c>
      <c r="M24" s="697" t="s">
        <v>881</v>
      </c>
      <c r="N24" s="382" t="s">
        <v>1347</v>
      </c>
    </row>
    <row r="25" spans="1:14">
      <c r="B25" s="687" t="s">
        <v>416</v>
      </c>
      <c r="C25" s="688"/>
      <c r="D25" s="688"/>
      <c r="E25" s="689">
        <f>'B_02 Benefity varianty'!D267</f>
        <v>301092.32040560246</v>
      </c>
      <c r="F25" s="689">
        <f>'B_02 Benefity varianty'!E267</f>
        <v>2448297.1184219718</v>
      </c>
      <c r="G25" s="689">
        <f>'B_02 Benefity varianty'!F267</f>
        <v>4976992.9524261951</v>
      </c>
      <c r="H25" s="689">
        <f>'B_02 Benefity varianty'!G267</f>
        <v>5058688.1743710041</v>
      </c>
      <c r="I25" s="689">
        <f>'B_02 Benefity varianty'!H267</f>
        <v>5141695.2044799924</v>
      </c>
      <c r="J25" s="689">
        <f>'B_02 Benefity varianty'!I267</f>
        <v>5226029.7079232335</v>
      </c>
      <c r="K25" s="689">
        <f>'B_02 Benefity varianty'!J267</f>
        <v>5311707.6548808813</v>
      </c>
      <c r="L25" s="689">
        <f>'B_02 Benefity varianty'!K267</f>
        <v>5398745.2388583422</v>
      </c>
      <c r="M25" s="698">
        <f t="shared" ref="M25:M26" si="3">SUM(E25:L25)</f>
        <v>33863248.371767223</v>
      </c>
      <c r="N25" s="933">
        <f>'B_01 Benefity súhrn'!M25/SUM('B_02 Benefity varianty'!$D$129:$K$129)</f>
        <v>1.516481761749592E-2</v>
      </c>
    </row>
    <row r="26" spans="1:14">
      <c r="B26" s="685" t="s">
        <v>875</v>
      </c>
      <c r="C26" s="686"/>
      <c r="D26" s="686"/>
      <c r="E26" s="689">
        <f>'B_02 Benefity varianty'!D268</f>
        <v>777693.96919252817</v>
      </c>
      <c r="F26" s="689">
        <f>'B_02 Benefity varianty'!E268</f>
        <v>1532655.3213170459</v>
      </c>
      <c r="G26" s="689">
        <f>'B_02 Benefity varianty'!F268</f>
        <v>1507073.6675334945</v>
      </c>
      <c r="H26" s="689">
        <f>'B_02 Benefity varianty'!G268</f>
        <v>1493303.8102924349</v>
      </c>
      <c r="I26" s="689">
        <f>'B_02 Benefity varianty'!H268</f>
        <v>1479654.7477614405</v>
      </c>
      <c r="J26" s="689">
        <f>'B_02 Benefity varianty'!I268</f>
        <v>1466122.5415312434</v>
      </c>
      <c r="K26" s="689">
        <f>'B_02 Benefity varianty'!J268</f>
        <v>1452703.3972187173</v>
      </c>
      <c r="L26" s="689">
        <f>'B_02 Benefity varianty'!K268</f>
        <v>1439393.6608172162</v>
      </c>
      <c r="M26" s="699">
        <f t="shared" si="3"/>
        <v>11148601.115664121</v>
      </c>
      <c r="N26" s="935">
        <f>M26/SUM('B_02 Benefity varianty'!$D$139:$K$139)</f>
        <v>0.22760859307596823</v>
      </c>
    </row>
    <row r="27" spans="1:14">
      <c r="B27" s="685" t="s">
        <v>880</v>
      </c>
      <c r="C27" s="686"/>
      <c r="D27" s="686"/>
      <c r="E27" s="689">
        <f>'B_02 Benefity varianty'!D269</f>
        <v>272656.59181984642</v>
      </c>
      <c r="F27" s="689">
        <f>'B_02 Benefity varianty'!E269</f>
        <v>1091618.9447325186</v>
      </c>
      <c r="G27" s="689">
        <f>'B_02 Benefity varianty'!F269</f>
        <v>1641362.533997369</v>
      </c>
      <c r="H27" s="689">
        <f>'B_02 Benefity varianty'!G269</f>
        <v>2183226.6610164228</v>
      </c>
      <c r="I27" s="689">
        <f>'B_02 Benefity varianty'!H269</f>
        <v>2722912.4422712382</v>
      </c>
      <c r="J27" s="689">
        <f>'B_02 Benefity varianty'!I269</f>
        <v>3260690.8686631387</v>
      </c>
      <c r="K27" s="689">
        <f>'B_02 Benefity varianty'!J269</f>
        <v>3796834.0785843874</v>
      </c>
      <c r="L27" s="689">
        <f>'B_02 Benefity varianty'!K269</f>
        <v>4331615.7059858833</v>
      </c>
      <c r="M27" s="699">
        <f>SUM(E27:L27)</f>
        <v>19300917.827070802</v>
      </c>
      <c r="N27" s="943">
        <f>M27/SUM('B_02 Benefity varianty'!$D$136:$K$137)</f>
        <v>2.7464854269467461E-3</v>
      </c>
    </row>
    <row r="28" spans="1:14">
      <c r="B28" s="685" t="s">
        <v>417</v>
      </c>
      <c r="C28" s="686"/>
      <c r="D28" s="686"/>
      <c r="E28" s="689">
        <f>'B_02 Benefity varianty'!D270</f>
        <v>454509.08577728271</v>
      </c>
      <c r="F28" s="689">
        <f>'B_02 Benefity varianty'!E270</f>
        <v>3665330.7158820629</v>
      </c>
      <c r="G28" s="689">
        <f>'B_02 Benefity varianty'!F270</f>
        <v>7389157.5085306168</v>
      </c>
      <c r="H28" s="689">
        <f>'B_02 Benefity varianty'!G270</f>
        <v>7447626.9246003628</v>
      </c>
      <c r="I28" s="689">
        <f>'B_02 Benefity varianty'!H270</f>
        <v>7506062.8055741787</v>
      </c>
      <c r="J28" s="689">
        <f>'B_02 Benefity varianty'!I270</f>
        <v>7564458.07543993</v>
      </c>
      <c r="K28" s="689">
        <f>'B_02 Benefity varianty'!J270</f>
        <v>7622805.4513118267</v>
      </c>
      <c r="L28" s="689">
        <f>'B_02 Benefity varianty'!K270</f>
        <v>7681097.4382855892</v>
      </c>
      <c r="M28" s="699">
        <f t="shared" ref="M28:M31" si="4">SUM(E28:L28)</f>
        <v>49331048.00540185</v>
      </c>
      <c r="N28" s="933">
        <f>M28/SUM('B_02 Benefity varianty'!$D$142:$K$142)</f>
        <v>3.4445219197644099E-3</v>
      </c>
    </row>
    <row r="29" spans="1:14">
      <c r="B29" s="685" t="s">
        <v>418</v>
      </c>
      <c r="C29" s="686"/>
      <c r="D29" s="686"/>
      <c r="E29" s="689">
        <f>'B_02 Benefity varianty'!D271</f>
        <v>27547.559476941824</v>
      </c>
      <c r="F29" s="689">
        <f>'B_02 Benefity varianty'!E271</f>
        <v>222734.61214661598</v>
      </c>
      <c r="G29" s="689">
        <f>'B_02 Benefity varianty'!F271</f>
        <v>449443.0726031065</v>
      </c>
      <c r="H29" s="689">
        <f>'B_02 Benefity varianty'!G271</f>
        <v>452672.11977946758</v>
      </c>
      <c r="I29" s="689">
        <f>'B_02 Benefity varianty'!H271</f>
        <v>455147.22243475914</v>
      </c>
      <c r="J29" s="689">
        <f>'B_02 Benefity varianty'!I271</f>
        <v>456719.53752744198</v>
      </c>
      <c r="K29" s="689">
        <f>'B_02 Benefity varianty'!J271</f>
        <v>457239.31621223688</v>
      </c>
      <c r="L29" s="689">
        <f>'B_02 Benefity varianty'!K271</f>
        <v>456556.36085277796</v>
      </c>
      <c r="M29" s="699">
        <f t="shared" si="4"/>
        <v>2978059.8010333478</v>
      </c>
      <c r="N29" s="933">
        <f>M29/SUM('B_02 Benefity varianty'!$D$145:$K$145)</f>
        <v>1.3575535738700542E-3</v>
      </c>
    </row>
    <row r="30" spans="1:14">
      <c r="B30" s="685" t="s">
        <v>419</v>
      </c>
      <c r="C30" s="686"/>
      <c r="D30" s="686"/>
      <c r="E30" s="689">
        <f>'B_02 Benefity varianty'!D272</f>
        <v>32773.27605189383</v>
      </c>
      <c r="F30" s="689">
        <f>'B_02 Benefity varianty'!E272</f>
        <v>264750.48805558681</v>
      </c>
      <c r="G30" s="689">
        <f>'B_02 Benefity varianty'!F272</f>
        <v>534602.63449564576</v>
      </c>
      <c r="H30" s="689">
        <f>'B_02 Benefity varianty'!G272</f>
        <v>539676.25145369768</v>
      </c>
      <c r="I30" s="689">
        <f>'B_02 Benefity varianty'!H272</f>
        <v>544720.66389873624</v>
      </c>
      <c r="J30" s="689">
        <f>'B_02 Benefity varianty'!I272</f>
        <v>549729.99710100889</v>
      </c>
      <c r="K30" s="689">
        <f>'B_02 Benefity varianty'!J272</f>
        <v>554698.39591324329</v>
      </c>
      <c r="L30" s="689">
        <f>'B_02 Benefity varianty'!K272</f>
        <v>559620.02939388156</v>
      </c>
      <c r="M30" s="699">
        <f t="shared" si="4"/>
        <v>3580571.7363636941</v>
      </c>
      <c r="N30" s="933">
        <f>M30/SUM('B_02 Benefity varianty'!$D$148:$K$148)</f>
        <v>2.6484160502991878E-3</v>
      </c>
    </row>
    <row r="31" spans="1:14">
      <c r="B31" s="692" t="s">
        <v>420</v>
      </c>
      <c r="C31" s="693"/>
      <c r="D31" s="693"/>
      <c r="E31" s="689">
        <f>'B_02 Benefity varianty'!D273</f>
        <v>267879.01963913441</v>
      </c>
      <c r="F31" s="689">
        <f>'B_02 Benefity varianty'!E273</f>
        <v>2145547.2739737034</v>
      </c>
      <c r="G31" s="689">
        <f>'B_02 Benefity varianty'!F273</f>
        <v>4289812.9461705685</v>
      </c>
      <c r="H31" s="689">
        <f>'B_02 Benefity varianty'!G273</f>
        <v>4282305.0125882626</v>
      </c>
      <c r="I31" s="689">
        <f>'B_02 Benefity varianty'!H273</f>
        <v>4268658.2399833202</v>
      </c>
      <c r="J31" s="689">
        <f>'B_02 Benefity varianty'!I273</f>
        <v>4247652.8679234982</v>
      </c>
      <c r="K31" s="689">
        <f>'B_02 Benefity varianty'!J273</f>
        <v>4218093.7503705025</v>
      </c>
      <c r="L31" s="689">
        <f>'B_02 Benefity varianty'!K273</f>
        <v>4178811.0694491863</v>
      </c>
      <c r="M31" s="700">
        <f t="shared" si="4"/>
        <v>27898760.180098176</v>
      </c>
      <c r="N31" s="933">
        <f>M31/SUM('B_02 Benefity varianty'!$D$151:$K$151)</f>
        <v>3.121463430787156E-3</v>
      </c>
    </row>
    <row r="32" spans="1:14" ht="14.25" thickBot="1">
      <c r="B32" s="694" t="s">
        <v>845</v>
      </c>
      <c r="C32" s="695"/>
      <c r="D32" s="695"/>
      <c r="E32" s="696">
        <f t="shared" ref="E32:M32" si="5">SUM(E25:E31)</f>
        <v>2134151.8223632299</v>
      </c>
      <c r="F32" s="696">
        <f t="shared" si="5"/>
        <v>11370934.474529505</v>
      </c>
      <c r="G32" s="696">
        <f t="shared" si="5"/>
        <v>20788445.315756995</v>
      </c>
      <c r="H32" s="696">
        <f t="shared" si="5"/>
        <v>21457498.954101652</v>
      </c>
      <c r="I32" s="696">
        <f t="shared" si="5"/>
        <v>22118851.326403666</v>
      </c>
      <c r="J32" s="696">
        <f t="shared" si="5"/>
        <v>22771403.596109495</v>
      </c>
      <c r="K32" s="696">
        <f t="shared" si="5"/>
        <v>23414082.044491798</v>
      </c>
      <c r="L32" s="696">
        <f t="shared" si="5"/>
        <v>24045839.503642876</v>
      </c>
      <c r="M32" s="701">
        <f t="shared" si="5"/>
        <v>148101207.03739923</v>
      </c>
    </row>
    <row r="33" spans="1:14">
      <c r="B33" s="382" t="s">
        <v>1348</v>
      </c>
      <c r="E33" s="937">
        <f>'B_02 Benefity varianty'!$F$39*'B_02 Benefity varianty'!D79*(1+'B_02 Benefity varianty'!D80)</f>
        <v>9253.8894374999982</v>
      </c>
      <c r="F33" s="937">
        <f>'B_02 Benefity varianty'!$F$39*'B_02 Benefity varianty'!E79*(1+'B_02 Benefity varianty'!E80)</f>
        <v>37272.8655</v>
      </c>
      <c r="G33" s="937">
        <f>'B_02 Benefity varianty'!$F$39*'B_02 Benefity varianty'!F79*(1+'B_02 Benefity varianty'!F80)</f>
        <v>75060.3465</v>
      </c>
      <c r="H33" s="937">
        <f>'B_02 Benefity varianty'!$F$39*'B_02 Benefity varianty'!G79*(1+'B_02 Benefity varianty'!G80)</f>
        <v>75574.962</v>
      </c>
      <c r="I33" s="937">
        <f>'B_02 Benefity varianty'!$F$39*'B_02 Benefity varianty'!H79*(1+'B_02 Benefity varianty'!H80)</f>
        <v>76089.577499999999</v>
      </c>
      <c r="J33" s="937">
        <f>'B_02 Benefity varianty'!$F$39*'B_02 Benefity varianty'!I79*(1+'B_02 Benefity varianty'!I80)</f>
        <v>76604.192999999999</v>
      </c>
      <c r="K33" s="937">
        <f>'B_02 Benefity varianty'!$F$39*'B_02 Benefity varianty'!J79*(1+'B_02 Benefity varianty'!J80)</f>
        <v>77118.808499999999</v>
      </c>
      <c r="L33" s="937">
        <f>'B_02 Benefity varianty'!$F$39*'B_02 Benefity varianty'!K79*(1+'B_02 Benefity varianty'!K80)</f>
        <v>77633.423999999999</v>
      </c>
      <c r="M33" s="384"/>
    </row>
    <row r="34" spans="1:14">
      <c r="B34" s="382" t="s">
        <v>266</v>
      </c>
      <c r="E34" s="937">
        <f>'B_02 Benefity varianty'!D228</f>
        <v>300751.40671874996</v>
      </c>
      <c r="F34" s="937">
        <f>'B_02 Benefity varianty'!E228</f>
        <v>2422736.2574999998</v>
      </c>
      <c r="G34" s="937">
        <f>'B_02 Benefity varianty'!F228</f>
        <v>4878922.5225</v>
      </c>
      <c r="H34" s="937">
        <f>'B_02 Benefity varianty'!G228</f>
        <v>4912372.53</v>
      </c>
      <c r="I34" s="937">
        <f>'B_02 Benefity varianty'!H228</f>
        <v>4945822.5374999996</v>
      </c>
      <c r="J34" s="937">
        <f>'B_02 Benefity varianty'!I228</f>
        <v>4979272.5449999999</v>
      </c>
      <c r="K34" s="937">
        <f>'B_02 Benefity varianty'!J228</f>
        <v>5012722.5524999993</v>
      </c>
      <c r="L34" s="937">
        <f>'B_02 Benefity varianty'!K228</f>
        <v>5046172.5600000005</v>
      </c>
      <c r="M34" s="384"/>
    </row>
    <row r="35" spans="1:14">
      <c r="B35" s="382" t="s">
        <v>1349</v>
      </c>
      <c r="E35" s="937">
        <f>'B_02 Benefity varianty'!D241</f>
        <v>8891620.6975887772</v>
      </c>
      <c r="F35" s="937">
        <f>'B_02 Benefity varianty'!E241</f>
        <v>71627435.053465903</v>
      </c>
      <c r="G35" s="937">
        <f>'B_02 Benefity varianty'!F241</f>
        <v>144243809.05244318</v>
      </c>
      <c r="H35" s="937">
        <f>'B_02 Benefity varianty'!G241</f>
        <v>145232747.99795455</v>
      </c>
      <c r="I35" s="937">
        <f>'B_02 Benefity varianty'!H241</f>
        <v>146221686.94346589</v>
      </c>
      <c r="J35" s="937">
        <f>'B_02 Benefity varianty'!I241</f>
        <v>147210625.88897726</v>
      </c>
      <c r="K35" s="937">
        <f>'B_02 Benefity varianty'!J241</f>
        <v>148199564.8344886</v>
      </c>
      <c r="L35" s="937">
        <f>'B_02 Benefity varianty'!K241</f>
        <v>149188503.78</v>
      </c>
      <c r="M35" s="384"/>
    </row>
    <row r="36" spans="1:14">
      <c r="B36" s="382" t="s">
        <v>1351</v>
      </c>
      <c r="E36" s="937">
        <f>E37/'B_02 Benefity varianty'!$F$40</f>
        <v>33910.256128122695</v>
      </c>
      <c r="F36" s="937">
        <f>F37/'B_02 Benefity varianty'!$F$40</f>
        <v>138932.0950136157</v>
      </c>
      <c r="G36" s="937">
        <f>G37/'B_02 Benefity varianty'!$F$40</f>
        <v>211770.60278582072</v>
      </c>
      <c r="H36" s="937">
        <f>H37/'B_02 Benefity varianty'!$F$40</f>
        <v>278000.50850803615</v>
      </c>
      <c r="I36" s="937">
        <f>I37/'B_02 Benefity varianty'!$F$40</f>
        <v>344294.88588261465</v>
      </c>
      <c r="J36" s="937">
        <f>J37/'B_02 Benefity varianty'!$F$40</f>
        <v>410692.98434759851</v>
      </c>
      <c r="K36" s="937">
        <f>K37/'B_02 Benefity varianty'!$F$40</f>
        <v>477234.88146889303</v>
      </c>
      <c r="L36" s="937">
        <f>L37/'B_02 Benefity varianty'!$F$40</f>
        <v>543961.5688309517</v>
      </c>
      <c r="M36" s="384"/>
    </row>
    <row r="37" spans="1:14">
      <c r="B37" s="382" t="s">
        <v>1352</v>
      </c>
      <c r="E37" s="937">
        <f>((('B_02 Benefity varianty'!D91*'B_02 Benefity varianty'!$F$45)/2)+('B_02 Benefity varianty'!D91*(1-'B_02 Benefity varianty'!$F$45)))*'B_02 Benefity varianty'!D78+((E34*'B_02 Benefity varianty'!$F$45/2)+(E34*(1-'B_02 Benefity varianty'!$F$45)))</f>
        <v>11020833.241639875</v>
      </c>
      <c r="F37" s="937">
        <f>((('B_02 Benefity varianty'!E91*'B_02 Benefity varianty'!$F$45)/2)+('B_02 Benefity varianty'!E91*(1-'B_02 Benefity varianty'!$F$45)))*'B_02 Benefity varianty'!E78+((F34*'B_02 Benefity varianty'!$F$45/2)+(F34*(1-'B_02 Benefity varianty'!$F$45)))</f>
        <v>45152930.879425101</v>
      </c>
      <c r="G37" s="937">
        <f>((('B_02 Benefity varianty'!F91*'B_02 Benefity varianty'!$F$45)/2)+('B_02 Benefity varianty'!F91*(1-'B_02 Benefity varianty'!$F$45)))*'B_02 Benefity varianty'!F78+((G34*'B_02 Benefity varianty'!$F$45/2)+(G34*(1-'B_02 Benefity varianty'!$F$45)))</f>
        <v>68825445.905391738</v>
      </c>
      <c r="H37" s="937">
        <f>((('B_02 Benefity varianty'!G91*'B_02 Benefity varianty'!$F$45)/2)+('B_02 Benefity varianty'!G91*(1-'B_02 Benefity varianty'!$F$45)))*'B_02 Benefity varianty'!G78+((H34*'B_02 Benefity varianty'!$F$45/2)+(H34*(1-'B_02 Benefity varianty'!$F$45)))</f>
        <v>90350165.265111744</v>
      </c>
      <c r="I37" s="937">
        <f>((('B_02 Benefity varianty'!H91*'B_02 Benefity varianty'!$F$45)/2)+('B_02 Benefity varianty'!H91*(1-'B_02 Benefity varianty'!$F$45)))*'B_02 Benefity varianty'!H78+((I34*'B_02 Benefity varianty'!$F$45/2)+(I34*(1-'B_02 Benefity varianty'!$F$45)))</f>
        <v>111895837.91184977</v>
      </c>
      <c r="J37" s="937">
        <f>((('B_02 Benefity varianty'!I91*'B_02 Benefity varianty'!$F$45)/2)+('B_02 Benefity varianty'!I91*(1-'B_02 Benefity varianty'!$F$45)))*'B_02 Benefity varianty'!I78+((J34*'B_02 Benefity varianty'!$F$45/2)+(J34*(1-'B_02 Benefity varianty'!$F$45)))</f>
        <v>133475219.91296951</v>
      </c>
      <c r="K37" s="937">
        <f>((('B_02 Benefity varianty'!J91*'B_02 Benefity varianty'!$F$45)/2)+('B_02 Benefity varianty'!J91*(1-'B_02 Benefity varianty'!$F$45)))*'B_02 Benefity varianty'!J78+((K34*'B_02 Benefity varianty'!$F$45/2)+(K34*(1-'B_02 Benefity varianty'!$F$45)))</f>
        <v>155101336.47739023</v>
      </c>
      <c r="L37" s="937">
        <f>((('B_02 Benefity varianty'!K91*'B_02 Benefity varianty'!$F$45)/2)+('B_02 Benefity varianty'!K91*(1-'B_02 Benefity varianty'!$F$45)))*'B_02 Benefity varianty'!K78+((L34*'B_02 Benefity varianty'!$F$45/2)+(L34*(1-'B_02 Benefity varianty'!$F$45)))</f>
        <v>176787509.87005931</v>
      </c>
      <c r="M37" s="384"/>
    </row>
    <row r="38" spans="1:14">
      <c r="A38" s="383" t="s">
        <v>682</v>
      </c>
    </row>
    <row r="39" spans="1:14" ht="14.25" thickBot="1">
      <c r="A39" s="383"/>
    </row>
    <row r="40" spans="1:14">
      <c r="A40" s="382" t="s">
        <v>1256</v>
      </c>
      <c r="B40" s="771" t="s">
        <v>530</v>
      </c>
      <c r="C40" s="772">
        <v>2024</v>
      </c>
      <c r="D40" s="772">
        <v>2025</v>
      </c>
      <c r="E40" s="772">
        <v>2026</v>
      </c>
      <c r="F40" s="772">
        <v>2027</v>
      </c>
      <c r="G40" s="772">
        <v>2028</v>
      </c>
      <c r="H40" s="772">
        <v>2029</v>
      </c>
      <c r="I40" s="772">
        <v>2030</v>
      </c>
      <c r="J40" s="772">
        <v>2031</v>
      </c>
      <c r="K40" s="772">
        <v>2032</v>
      </c>
      <c r="L40" s="772">
        <v>2033</v>
      </c>
      <c r="M40" s="773" t="s">
        <v>881</v>
      </c>
      <c r="N40" s="382" t="s">
        <v>1347</v>
      </c>
    </row>
    <row r="41" spans="1:14">
      <c r="B41" s="774" t="s">
        <v>416</v>
      </c>
      <c r="C41" s="775"/>
      <c r="D41" s="775"/>
      <c r="E41" s="776">
        <f>'B_02 Benefity varianty'!D328</f>
        <v>401456.42720746994</v>
      </c>
      <c r="F41" s="776">
        <f>'B_02 Benefity varianty'!E328</f>
        <v>3264396.1578959823</v>
      </c>
      <c r="G41" s="776">
        <f>'B_02 Benefity varianty'!F328</f>
        <v>6635990.6032349467</v>
      </c>
      <c r="H41" s="776">
        <f>'B_02 Benefity varianty'!G328</f>
        <v>6744917.5658280253</v>
      </c>
      <c r="I41" s="776">
        <f>'B_02 Benefity varianty'!H328</f>
        <v>6855593.6059733629</v>
      </c>
      <c r="J41" s="776">
        <f>'B_02 Benefity varianty'!I328</f>
        <v>6968039.6105643511</v>
      </c>
      <c r="K41" s="776">
        <f>'B_02 Benefity varianty'!J328</f>
        <v>7082276.8731744885</v>
      </c>
      <c r="L41" s="776">
        <f>'B_02 Benefity varianty'!K328</f>
        <v>7198326.9851443768</v>
      </c>
      <c r="M41" s="777">
        <f t="shared" ref="M41:M47" si="6">SUM(E41:L41)</f>
        <v>45150997.829023004</v>
      </c>
      <c r="N41" s="933">
        <f>'B_01 Benefity súhrn'!M41/SUM('B_02 Benefity varianty'!$D$129:$K$129)</f>
        <v>2.0219756823327911E-2</v>
      </c>
    </row>
    <row r="42" spans="1:14">
      <c r="B42" s="778" t="s">
        <v>875</v>
      </c>
      <c r="C42" s="779"/>
      <c r="D42" s="779"/>
      <c r="E42" s="776">
        <f>'B_02 Benefity varianty'!D329</f>
        <v>777208.35785679473</v>
      </c>
      <c r="F42" s="776">
        <f>'B_02 Benefity varianty'!E329</f>
        <v>1528759.6827569865</v>
      </c>
      <c r="G42" s="776">
        <f>'B_02 Benefity varianty'!F329</f>
        <v>1499260.5844188929</v>
      </c>
      <c r="H42" s="776">
        <f>'B_02 Benefity varianty'!G329</f>
        <v>1485468.5203094268</v>
      </c>
      <c r="I42" s="776">
        <f>'B_02 Benefity varianty'!H329</f>
        <v>1471796.7563070217</v>
      </c>
      <c r="J42" s="776">
        <f>'B_02 Benefity varianty'!I329</f>
        <v>1458241.2571308948</v>
      </c>
      <c r="K42" s="776">
        <f>'B_02 Benefity varianty'!J329</f>
        <v>1444798.1283445563</v>
      </c>
      <c r="L42" s="776">
        <f>'B_02 Benefity varianty'!K329</f>
        <v>1431463.6126689063</v>
      </c>
      <c r="M42" s="780">
        <f t="shared" si="6"/>
        <v>11096996.89979348</v>
      </c>
      <c r="N42" s="935">
        <f>M42/SUM('B_02 Benefity varianty'!$D$139:$K$139)</f>
        <v>0.22655504717821409</v>
      </c>
    </row>
    <row r="43" spans="1:14">
      <c r="B43" s="778" t="s">
        <v>880</v>
      </c>
      <c r="C43" s="779"/>
      <c r="D43" s="779"/>
      <c r="E43" s="776">
        <f>'B_02 Benefity varianty'!D330</f>
        <v>340960.79116198642</v>
      </c>
      <c r="F43" s="776">
        <f>'B_02 Benefity varianty'!E330</f>
        <v>1366786.5652830293</v>
      </c>
      <c r="G43" s="776">
        <f>'B_02 Benefity varianty'!F330</f>
        <v>2058558.0397097166</v>
      </c>
      <c r="H43" s="776">
        <f>'B_02 Benefity varianty'!G330</f>
        <v>2738261.4970661495</v>
      </c>
      <c r="I43" s="776">
        <f>'B_02 Benefity varianty'!H330</f>
        <v>3415286.2614959222</v>
      </c>
      <c r="J43" s="776">
        <f>'B_02 Benefity varianty'!I330</f>
        <v>4089971.1222303859</v>
      </c>
      <c r="K43" s="776">
        <f>'B_02 Benefity varianty'!J330</f>
        <v>4762656.3097033398</v>
      </c>
      <c r="L43" s="776">
        <f>'B_02 Benefity varianty'!K330</f>
        <v>5433683.931029507</v>
      </c>
      <c r="M43" s="780">
        <f t="shared" si="6"/>
        <v>24206164.517680038</v>
      </c>
      <c r="N43" s="943">
        <f>M43/SUM('B_02 Benefity varianty'!$D$136:$K$137)</f>
        <v>3.444493090211412E-3</v>
      </c>
    </row>
    <row r="44" spans="1:14">
      <c r="B44" s="778" t="s">
        <v>417</v>
      </c>
      <c r="C44" s="779"/>
      <c r="D44" s="779"/>
      <c r="E44" s="776">
        <f>'B_02 Benefity varianty'!D331</f>
        <v>606012.11436975002</v>
      </c>
      <c r="F44" s="776">
        <f>'B_02 Benefity varianty'!E331</f>
        <v>4887107.6211760044</v>
      </c>
      <c r="G44" s="776">
        <f>'B_02 Benefity varianty'!F331</f>
        <v>9852210.0113739967</v>
      </c>
      <c r="H44" s="776">
        <f>'B_02 Benefity varianty'!G331</f>
        <v>9930169.2328004837</v>
      </c>
      <c r="I44" s="776">
        <f>'B_02 Benefity varianty'!H331</f>
        <v>10008083.740765333</v>
      </c>
      <c r="J44" s="776">
        <f>'B_02 Benefity varianty'!I331</f>
        <v>10085944.100586414</v>
      </c>
      <c r="K44" s="776">
        <f>'B_02 Benefity varianty'!J331</f>
        <v>10163740.60174942</v>
      </c>
      <c r="L44" s="776">
        <f>'B_02 Benefity varianty'!K331</f>
        <v>10241463.251047611</v>
      </c>
      <c r="M44" s="780">
        <f t="shared" si="6"/>
        <v>65774730.673869014</v>
      </c>
      <c r="N44" s="933">
        <f>M44/SUM('B_02 Benefity varianty'!$D$142:$K$142)</f>
        <v>4.5926958930192045E-3</v>
      </c>
    </row>
    <row r="45" spans="1:14">
      <c r="B45" s="778" t="s">
        <v>418</v>
      </c>
      <c r="C45" s="779"/>
      <c r="D45" s="779"/>
      <c r="E45" s="776">
        <f>'B_02 Benefity varianty'!D332</f>
        <v>36730.079302579165</v>
      </c>
      <c r="F45" s="776">
        <f>'B_02 Benefity varianty'!E332</f>
        <v>296979.48286211491</v>
      </c>
      <c r="G45" s="776">
        <f>'B_02 Benefity varianty'!F332</f>
        <v>599257.43013745546</v>
      </c>
      <c r="H45" s="776">
        <f>'B_02 Benefity varianty'!G332</f>
        <v>603562.82637268305</v>
      </c>
      <c r="I45" s="776">
        <f>'B_02 Benefity varianty'!H332</f>
        <v>606862.96324634552</v>
      </c>
      <c r="J45" s="776">
        <f>'B_02 Benefity varianty'!I332</f>
        <v>608959.38336992264</v>
      </c>
      <c r="K45" s="776">
        <f>'B_02 Benefity varianty'!J332</f>
        <v>609652.42161631584</v>
      </c>
      <c r="L45" s="776">
        <f>'B_02 Benefity varianty'!K332</f>
        <v>608741.81447029114</v>
      </c>
      <c r="M45" s="780">
        <f t="shared" si="6"/>
        <v>3970746.4013777077</v>
      </c>
      <c r="N45" s="933">
        <f>M45/SUM('B_02 Benefity varianty'!$D$145:$K$145)</f>
        <v>1.810071431826698E-3</v>
      </c>
    </row>
    <row r="46" spans="1:14">
      <c r="B46" s="778" t="s">
        <v>419</v>
      </c>
      <c r="C46" s="779"/>
      <c r="D46" s="779"/>
      <c r="E46" s="776">
        <f>'B_02 Benefity varianty'!D333</f>
        <v>43697.701402544975</v>
      </c>
      <c r="F46" s="776">
        <f>'B_02 Benefity varianty'!E333</f>
        <v>353000.65074074268</v>
      </c>
      <c r="G46" s="776">
        <f>'B_02 Benefity varianty'!F333</f>
        <v>712803.51266083121</v>
      </c>
      <c r="H46" s="776">
        <f>'B_02 Benefity varianty'!G333</f>
        <v>719568.3352715373</v>
      </c>
      <c r="I46" s="776">
        <f>'B_02 Benefity varianty'!H333</f>
        <v>726294.21853166819</v>
      </c>
      <c r="J46" s="776">
        <f>'B_02 Benefity varianty'!I333</f>
        <v>732973.32946804166</v>
      </c>
      <c r="K46" s="776">
        <f>'B_02 Benefity varianty'!J333</f>
        <v>739597.86121761799</v>
      </c>
      <c r="L46" s="776">
        <f>'B_02 Benefity varianty'!K333</f>
        <v>746160.03919181228</v>
      </c>
      <c r="M46" s="780">
        <f t="shared" si="6"/>
        <v>4774095.6484847963</v>
      </c>
      <c r="N46" s="933">
        <f>M46/SUM('B_02 Benefity varianty'!$D$148:$K$148)</f>
        <v>3.5312214003988215E-3</v>
      </c>
    </row>
    <row r="47" spans="1:14">
      <c r="B47" s="781" t="s">
        <v>420</v>
      </c>
      <c r="C47" s="782"/>
      <c r="D47" s="782"/>
      <c r="E47" s="776">
        <f>'B_02 Benefity varianty'!D334</f>
        <v>357172.02618551254</v>
      </c>
      <c r="F47" s="776">
        <f>'B_02 Benefity varianty'!E334</f>
        <v>2860729.6986312866</v>
      </c>
      <c r="G47" s="776">
        <f>'B_02 Benefity varianty'!F334</f>
        <v>5719750.5948944092</v>
      </c>
      <c r="H47" s="776">
        <f>'B_02 Benefity varianty'!G334</f>
        <v>5709740.0167844296</v>
      </c>
      <c r="I47" s="776">
        <f>'B_02 Benefity varianty'!H334</f>
        <v>5691544.3199777603</v>
      </c>
      <c r="J47" s="776">
        <f>'B_02 Benefity varianty'!I334</f>
        <v>5663537.1572313309</v>
      </c>
      <c r="K47" s="776">
        <f>'B_02 Benefity varianty'!J334</f>
        <v>5624125.0004940033</v>
      </c>
      <c r="L47" s="776">
        <f>'B_02 Benefity varianty'!K334</f>
        <v>5571748.0925991535</v>
      </c>
      <c r="M47" s="783">
        <f t="shared" si="6"/>
        <v>37198346.906797886</v>
      </c>
      <c r="N47" s="933">
        <f>M47/SUM('B_02 Benefity varianty'!$D$151:$K$151)</f>
        <v>4.1619512410495775E-3</v>
      </c>
    </row>
    <row r="48" spans="1:14" ht="14.25" thickBot="1">
      <c r="B48" s="784" t="s">
        <v>845</v>
      </c>
      <c r="C48" s="785"/>
      <c r="D48" s="785"/>
      <c r="E48" s="786">
        <f t="shared" ref="E48:M48" si="7">SUM(E41:E47)</f>
        <v>2563237.4974866379</v>
      </c>
      <c r="F48" s="786">
        <f t="shared" si="7"/>
        <v>14557759.859346148</v>
      </c>
      <c r="G48" s="786">
        <f t="shared" si="7"/>
        <v>27077830.776430249</v>
      </c>
      <c r="H48" s="786">
        <f t="shared" si="7"/>
        <v>27931687.994432736</v>
      </c>
      <c r="I48" s="786">
        <f t="shared" si="7"/>
        <v>28775461.866297416</v>
      </c>
      <c r="J48" s="786">
        <f t="shared" si="7"/>
        <v>29607665.96058134</v>
      </c>
      <c r="K48" s="786">
        <f t="shared" si="7"/>
        <v>30426847.196299743</v>
      </c>
      <c r="L48" s="786">
        <f t="shared" si="7"/>
        <v>31231587.726151656</v>
      </c>
      <c r="M48" s="787">
        <f t="shared" si="7"/>
        <v>192172078.8770259</v>
      </c>
    </row>
    <row r="49" spans="1:14">
      <c r="B49" s="382" t="s">
        <v>1348</v>
      </c>
      <c r="E49" s="937">
        <f>'B_02 Benefity varianty'!$F$39*'B_02 Benefity varianty'!D82*(1+'B_02 Benefity varianty'!D83)</f>
        <v>12338.519249999999</v>
      </c>
      <c r="F49" s="937">
        <f>'B_02 Benefity varianty'!$F$39*'B_02 Benefity varianty'!E82*(1+'B_02 Benefity varianty'!E83)</f>
        <v>49697.154000000002</v>
      </c>
      <c r="G49" s="937">
        <f>'B_02 Benefity varianty'!$F$39*'B_02 Benefity varianty'!F82*(1+'B_02 Benefity varianty'!F83)</f>
        <v>100080.46199999998</v>
      </c>
      <c r="H49" s="937">
        <f>'B_02 Benefity varianty'!$F$39*'B_02 Benefity varianty'!G82*(1+'B_02 Benefity varianty'!G83)</f>
        <v>100766.61600000001</v>
      </c>
      <c r="I49" s="937">
        <f>'B_02 Benefity varianty'!$F$39*'B_02 Benefity varianty'!H82*(1+'B_02 Benefity varianty'!H83)</f>
        <v>101452.76999999999</v>
      </c>
      <c r="J49" s="937">
        <f>'B_02 Benefity varianty'!$F$39*'B_02 Benefity varianty'!I82*(1+'B_02 Benefity varianty'!I83)</f>
        <v>102138.924</v>
      </c>
      <c r="K49" s="937">
        <f>'B_02 Benefity varianty'!$F$39*'B_02 Benefity varianty'!J82*(1+'B_02 Benefity varianty'!J83)</f>
        <v>102825.07799999999</v>
      </c>
      <c r="L49" s="937">
        <f>'B_02 Benefity varianty'!$F$39*'B_02 Benefity varianty'!K82*(1+'B_02 Benefity varianty'!K83)</f>
        <v>103511.232</v>
      </c>
    </row>
    <row r="50" spans="1:14">
      <c r="B50" s="382" t="s">
        <v>266</v>
      </c>
      <c r="E50" s="937">
        <f>'B_02 Benefity varianty'!D289</f>
        <v>401001.87562499999</v>
      </c>
      <c r="F50" s="937">
        <f>'B_02 Benefity varianty'!E289</f>
        <v>3230315.0100000002</v>
      </c>
      <c r="G50" s="937">
        <f>'B_02 Benefity varianty'!F289</f>
        <v>6505230.0299999993</v>
      </c>
      <c r="H50" s="937">
        <f>'B_02 Benefity varianty'!G289</f>
        <v>6549830.04</v>
      </c>
      <c r="I50" s="937">
        <f>'B_02 Benefity varianty'!H289</f>
        <v>6594430.0499999998</v>
      </c>
      <c r="J50" s="937">
        <f>'B_02 Benefity varianty'!I289</f>
        <v>6639030.0600000005</v>
      </c>
      <c r="K50" s="937">
        <f>'B_02 Benefity varianty'!J289</f>
        <v>6683630.0699999994</v>
      </c>
      <c r="L50" s="937">
        <f>'B_02 Benefity varianty'!K289</f>
        <v>6728230.0800000001</v>
      </c>
    </row>
    <row r="51" spans="1:14">
      <c r="B51" s="382" t="s">
        <v>1349</v>
      </c>
      <c r="E51" s="937">
        <f>'B_02 Benefity varianty'!D302</f>
        <v>11855494.263451703</v>
      </c>
      <c r="F51" s="937">
        <f>'B_02 Benefity varianty'!E302</f>
        <v>95503246.737954542</v>
      </c>
      <c r="G51" s="937">
        <f>'B_02 Benefity varianty'!F302</f>
        <v>192325078.73659089</v>
      </c>
      <c r="H51" s="937">
        <f>'B_02 Benefity varianty'!G302</f>
        <v>193643663.99727273</v>
      </c>
      <c r="I51" s="937">
        <f>'B_02 Benefity varianty'!H302</f>
        <v>194962249.25795454</v>
      </c>
      <c r="J51" s="937">
        <f>'B_02 Benefity varianty'!I302</f>
        <v>196280834.51863638</v>
      </c>
      <c r="K51" s="937">
        <f>'B_02 Benefity varianty'!J302</f>
        <v>197599419.77931815</v>
      </c>
      <c r="L51" s="937">
        <f>'B_02 Benefity varianty'!K302</f>
        <v>198918005.03999999</v>
      </c>
    </row>
    <row r="52" spans="1:14">
      <c r="B52" s="382" t="s">
        <v>1351</v>
      </c>
      <c r="E52" s="937">
        <f>E53/'B_02 Benefity varianty'!$F$40</f>
        <v>42456.453173481488</v>
      </c>
      <c r="F52" s="937">
        <f>F53/'B_02 Benefity varianty'!$F$40</f>
        <v>174217.99960526964</v>
      </c>
      <c r="G52" s="937">
        <f>G53/'B_02 Benefity varianty'!$F$40</f>
        <v>265826.64862202591</v>
      </c>
      <c r="H52" s="937">
        <f>H53/'B_02 Benefity varianty'!$F$40</f>
        <v>348621.66423804522</v>
      </c>
      <c r="I52" s="937">
        <f>I53/'B_02 Benefity varianty'!$F$40</f>
        <v>431497.26941951836</v>
      </c>
      <c r="J52" s="937">
        <f>J53/'B_02 Benefity varianty'!$F$40</f>
        <v>514502.52596399811</v>
      </c>
      <c r="K52" s="937">
        <f>K53/'B_02 Benefity varianty'!$F$40</f>
        <v>597687.53082886606</v>
      </c>
      <c r="L52" s="937">
        <f>L53/'B_02 Benefity varianty'!$F$40</f>
        <v>681103.52349468961</v>
      </c>
    </row>
    <row r="53" spans="1:14">
      <c r="B53" s="382" t="s">
        <v>1352</v>
      </c>
      <c r="E53" s="937">
        <f>((('B_02 Benefity varianty'!D91*'B_02 Benefity varianty'!$F$45)/2)+('B_02 Benefity varianty'!D91*(1-'B_02 Benefity varianty'!$F$45)))*'B_02 Benefity varianty'!D81+((E50*'B_02 Benefity varianty'!$F$45/2)+(E50*(1-'B_02 Benefity varianty'!$F$45)))</f>
        <v>13798347.281381484</v>
      </c>
      <c r="F53" s="937">
        <f>((('B_02 Benefity varianty'!E91*'B_02 Benefity varianty'!$F$45)/2)+('B_02 Benefity varianty'!E91*(1-'B_02 Benefity varianty'!$F$45)))*'B_02 Benefity varianty'!E81+((F50*'B_02 Benefity varianty'!$F$45/2)+(F50*(1-'B_02 Benefity varianty'!$F$45)))</f>
        <v>56620849.871712632</v>
      </c>
      <c r="G53" s="937">
        <f>((('B_02 Benefity varianty'!F91*'B_02 Benefity varianty'!$F$45)/2)+('B_02 Benefity varianty'!F91*(1-'B_02 Benefity varianty'!$F$45)))*'B_02 Benefity varianty'!F81+((G50*'B_02 Benefity varianty'!$F$45/2)+(G50*(1-'B_02 Benefity varianty'!$F$45)))</f>
        <v>86393660.802158415</v>
      </c>
      <c r="H53" s="937">
        <f>((('B_02 Benefity varianty'!G91*'B_02 Benefity varianty'!$F$45)/2)+('B_02 Benefity varianty'!G91*(1-'B_02 Benefity varianty'!$F$45)))*'B_02 Benefity varianty'!G81+((H50*'B_02 Benefity varianty'!$F$45/2)+(H50*(1-'B_02 Benefity varianty'!$F$45)))</f>
        <v>113302040.8773647</v>
      </c>
      <c r="I53" s="937">
        <f>((('B_02 Benefity varianty'!H91*'B_02 Benefity varianty'!$F$45)/2)+('B_02 Benefity varianty'!H91*(1-'B_02 Benefity varianty'!$F$45)))*'B_02 Benefity varianty'!H81+((I50*'B_02 Benefity varianty'!$F$45/2)+(I50*(1-'B_02 Benefity varianty'!$F$45)))</f>
        <v>140236612.56134346</v>
      </c>
      <c r="J53" s="937">
        <f>((('B_02 Benefity varianty'!I91*'B_02 Benefity varianty'!$F$45)/2)+('B_02 Benefity varianty'!I91*(1-'B_02 Benefity varianty'!$F$45)))*'B_02 Benefity varianty'!I81+((J50*'B_02 Benefity varianty'!$F$45/2)+(J50*(1-'B_02 Benefity varianty'!$F$45)))</f>
        <v>167213320.93829939</v>
      </c>
      <c r="K53" s="937">
        <f>((('B_02 Benefity varianty'!J91*'B_02 Benefity varianty'!$F$45)/2)+('B_02 Benefity varianty'!J91*(1-'B_02 Benefity varianty'!$F$45)))*'B_02 Benefity varianty'!J81+((K50*'B_02 Benefity varianty'!$F$45/2)+(K50*(1-'B_02 Benefity varianty'!$F$45)))</f>
        <v>194248447.51938146</v>
      </c>
      <c r="L53" s="937">
        <f>((('B_02 Benefity varianty'!K91*'B_02 Benefity varianty'!$F$45)/2)+('B_02 Benefity varianty'!K91*(1-'B_02 Benefity varianty'!$F$45)))*'B_02 Benefity varianty'!K81+((L50*'B_02 Benefity varianty'!$F$45/2)+(L50*(1-'B_02 Benefity varianty'!$F$45)))</f>
        <v>221358645.13577411</v>
      </c>
    </row>
    <row r="54" spans="1:14">
      <c r="B54" s="789" t="s">
        <v>1258</v>
      </c>
    </row>
    <row r="55" spans="1:14">
      <c r="A55" s="383" t="s">
        <v>680</v>
      </c>
    </row>
    <row r="56" spans="1:14" ht="14.25" thickBot="1"/>
    <row r="57" spans="1:14">
      <c r="B57" s="690" t="s">
        <v>530</v>
      </c>
      <c r="C57" s="691">
        <v>2024</v>
      </c>
      <c r="D57" s="691">
        <v>2025</v>
      </c>
      <c r="E57" s="691">
        <v>2026</v>
      </c>
      <c r="F57" s="691">
        <v>2027</v>
      </c>
      <c r="G57" s="691">
        <v>2028</v>
      </c>
      <c r="H57" s="691">
        <v>2029</v>
      </c>
      <c r="I57" s="691">
        <v>2030</v>
      </c>
      <c r="J57" s="691">
        <v>2031</v>
      </c>
      <c r="K57" s="691">
        <v>2032</v>
      </c>
      <c r="L57" s="691">
        <v>2033</v>
      </c>
      <c r="M57" s="697" t="s">
        <v>881</v>
      </c>
      <c r="N57" s="382" t="s">
        <v>1347</v>
      </c>
    </row>
    <row r="58" spans="1:14">
      <c r="B58" s="687" t="s">
        <v>416</v>
      </c>
      <c r="C58" s="688"/>
      <c r="D58" s="688"/>
      <c r="E58" s="689">
        <f>'B_02 Benefity varianty'!D381</f>
        <v>48800.625419288874</v>
      </c>
      <c r="F58" s="689">
        <f>'B_02 Benefity varianty'!E381</f>
        <v>375555.79488611221</v>
      </c>
      <c r="G58" s="689">
        <f>'B_02 Benefity varianty'!F381</f>
        <v>760736.92162048817</v>
      </c>
      <c r="H58" s="689">
        <f>'B_02 Benefity varianty'!G381</f>
        <v>770680.6293977499</v>
      </c>
      <c r="I58" s="689">
        <f>'B_02 Benefity varianty'!H381</f>
        <v>780953.0566381216</v>
      </c>
      <c r="J58" s="689">
        <f>'B_02 Benefity varianty'!I381</f>
        <v>791564.50628054142</v>
      </c>
      <c r="K58" s="689">
        <f>'B_02 Benefity varianty'!J381</f>
        <v>802525.21665990353</v>
      </c>
      <c r="L58" s="689">
        <f>'B_02 Benefity varianty'!K381</f>
        <v>813845.33579212427</v>
      </c>
      <c r="M58" s="698">
        <f>SUM(E58:L58)</f>
        <v>5144662.08669433</v>
      </c>
      <c r="N58" s="933">
        <f>'B_01 Benefity súhrn'!M58/SUM('B_02 Benefity varianty'!$D$129:$K$129)</f>
        <v>2.3039095774819779E-3</v>
      </c>
    </row>
    <row r="59" spans="1:14">
      <c r="B59" s="685" t="s">
        <v>875</v>
      </c>
      <c r="C59" s="686"/>
      <c r="D59" s="686"/>
      <c r="E59" s="689">
        <f>'B_02 Benefity varianty'!D382</f>
        <v>203978.87645611726</v>
      </c>
      <c r="F59" s="689">
        <f>'B_02 Benefity varianty'!E382</f>
        <v>400739.0324192266</v>
      </c>
      <c r="G59" s="689">
        <f>'B_02 Benefity varianty'!F382</f>
        <v>393840.21857604926</v>
      </c>
      <c r="H59" s="689">
        <f>'B_02 Benefity varianty'!G382</f>
        <v>386617.18652685836</v>
      </c>
      <c r="I59" s="689">
        <f>'B_02 Benefity varianty'!H382</f>
        <v>379578.82382598059</v>
      </c>
      <c r="J59" s="689">
        <f>'B_02 Benefity varianty'!I382</f>
        <v>372720.18556348386</v>
      </c>
      <c r="K59" s="689">
        <f>'B_02 Benefity varianty'!J382</f>
        <v>366036.46282285376</v>
      </c>
      <c r="L59" s="689">
        <f>'B_02 Benefity varianty'!K382</f>
        <v>359522.97887423553</v>
      </c>
      <c r="M59" s="698">
        <f t="shared" ref="M59:M64" si="8">SUM(E59:L59)</f>
        <v>2863033.7650648048</v>
      </c>
      <c r="N59" s="935"/>
    </row>
    <row r="60" spans="1:14">
      <c r="B60" s="685" t="s">
        <v>880</v>
      </c>
      <c r="C60" s="686"/>
      <c r="D60" s="686"/>
      <c r="E60" s="689">
        <f>'B_02 Benefity varianty'!D383</f>
        <v>204308.87009211048</v>
      </c>
      <c r="F60" s="689">
        <f>'B_02 Benefity varianty'!E383</f>
        <v>815687.18550843175</v>
      </c>
      <c r="G60" s="689">
        <f>'B_02 Benefity varianty'!F383</f>
        <v>1221835.4034057909</v>
      </c>
      <c r="H60" s="689">
        <f>'B_02 Benefity varianty'!G383</f>
        <v>1625030.4261577434</v>
      </c>
      <c r="I60" s="689">
        <f>'B_02 Benefity varianty'!H383</f>
        <v>2026520.7954902006</v>
      </c>
      <c r="J60" s="689">
        <f>'B_02 Benefity varianty'!I383</f>
        <v>2426509.4642343363</v>
      </c>
      <c r="K60" s="689">
        <f>'B_02 Benefity varianty'!J383</f>
        <v>2825200.2269216483</v>
      </c>
      <c r="L60" s="689">
        <f>'B_02 Benefity varianty'!K383</f>
        <v>3222797.9796584174</v>
      </c>
      <c r="M60" s="698">
        <f t="shared" si="8"/>
        <v>14367890.351468679</v>
      </c>
      <c r="N60" s="935"/>
    </row>
    <row r="61" spans="1:14">
      <c r="B61" s="685" t="s">
        <v>417</v>
      </c>
      <c r="C61" s="686"/>
      <c r="D61" s="686"/>
      <c r="E61" s="689">
        <f>'B_02 Benefity varianty'!D384</f>
        <v>192550.17856015282</v>
      </c>
      <c r="F61" s="689">
        <f>'B_02 Benefity varianty'!E384</f>
        <v>1498402.1353509733</v>
      </c>
      <c r="G61" s="689">
        <f>'B_02 Benefity varianty'!F384</f>
        <v>3017492.2686259234</v>
      </c>
      <c r="H61" s="689">
        <f>'B_02 Benefity varianty'!G384</f>
        <v>3038180.266549903</v>
      </c>
      <c r="I61" s="689">
        <f>'B_02 Benefity varianty'!H384</f>
        <v>3058868.2644738802</v>
      </c>
      <c r="J61" s="689">
        <f>'B_02 Benefity varianty'!I384</f>
        <v>3079556.2623978588</v>
      </c>
      <c r="K61" s="689">
        <f>'B_02 Benefity varianty'!J384</f>
        <v>3100244.2603218351</v>
      </c>
      <c r="L61" s="689">
        <f>'B_02 Benefity varianty'!K384</f>
        <v>3120932.2582458146</v>
      </c>
      <c r="M61" s="698">
        <f t="shared" si="8"/>
        <v>20106225.894526344</v>
      </c>
    </row>
    <row r="62" spans="1:14">
      <c r="B62" s="685" t="s">
        <v>418</v>
      </c>
      <c r="C62" s="686"/>
      <c r="D62" s="686"/>
      <c r="E62" s="689">
        <f>'B_02 Benefity varianty'!D385</f>
        <v>-9400.4043505087247</v>
      </c>
      <c r="F62" s="689">
        <f>'B_02 Benefity varianty'!E385</f>
        <v>-75340.094812042371</v>
      </c>
      <c r="G62" s="689">
        <f>'B_02 Benefity varianty'!F385</f>
        <v>-156904.55851189396</v>
      </c>
      <c r="H62" s="689">
        <f>'B_02 Benefity varianty'!G385</f>
        <v>-163952.53668036661</v>
      </c>
      <c r="I62" s="689">
        <f>'B_02 Benefity varianty'!H385</f>
        <v>-171807.91200944968</v>
      </c>
      <c r="J62" s="689">
        <f>'B_02 Benefity varianty'!I385</f>
        <v>-180631.33734472468</v>
      </c>
      <c r="K62" s="689">
        <f>'B_02 Benefity varianty'!J385</f>
        <v>-190579.30038590683</v>
      </c>
      <c r="L62" s="689">
        <f>'B_02 Benefity varianty'!K385</f>
        <v>-201804.11697290884</v>
      </c>
      <c r="M62" s="698">
        <f t="shared" si="8"/>
        <v>-1150420.2610678016</v>
      </c>
    </row>
    <row r="63" spans="1:14">
      <c r="B63" s="685" t="s">
        <v>419</v>
      </c>
      <c r="C63" s="686"/>
      <c r="D63" s="686"/>
      <c r="E63" s="689">
        <f>'B_02 Benefity varianty'!D386</f>
        <v>9255.169134428761</v>
      </c>
      <c r="F63" s="689">
        <f>'B_02 Benefity varianty'!E386</f>
        <v>71978.303402615726</v>
      </c>
      <c r="G63" s="689">
        <f>'B_02 Benefity varianty'!F386</f>
        <v>144845.39247402849</v>
      </c>
      <c r="H63" s="689">
        <f>'B_02 Benefity varianty'!G386</f>
        <v>145717.49716925508</v>
      </c>
      <c r="I63" s="689">
        <f>'B_02 Benefity varianty'!H386</f>
        <v>146573.24924314365</v>
      </c>
      <c r="J63" s="689">
        <f>'B_02 Benefity varianty'!I386</f>
        <v>147409.39491270029</v>
      </c>
      <c r="K63" s="689">
        <f>'B_02 Benefity varianty'!J386</f>
        <v>148222.76475372785</v>
      </c>
      <c r="L63" s="689">
        <f>'B_02 Benefity varianty'!K386</f>
        <v>149010.27383680712</v>
      </c>
      <c r="M63" s="698">
        <f t="shared" si="8"/>
        <v>963012.04492670693</v>
      </c>
    </row>
    <row r="64" spans="1:14">
      <c r="B64" s="692" t="s">
        <v>420</v>
      </c>
      <c r="C64" s="693"/>
      <c r="D64" s="693"/>
      <c r="E64" s="689">
        <f>'B_02 Benefity varianty'!D387</f>
        <v>100170.29161397646</v>
      </c>
      <c r="F64" s="689">
        <f>'B_02 Benefity varianty'!E387</f>
        <v>769678.84276455001</v>
      </c>
      <c r="G64" s="689">
        <f>'B_02 Benefity varianty'!F387</f>
        <v>1526675.9853377612</v>
      </c>
      <c r="H64" s="689">
        <f>'B_02 Benefity varianty'!G387</f>
        <v>1510291.2742841903</v>
      </c>
      <c r="I64" s="689">
        <f>'B_02 Benefity varianty'!H387</f>
        <v>1490276.4433108075</v>
      </c>
      <c r="J64" s="689">
        <f>'B_02 Benefity varianty'!I387</f>
        <v>1465909.1848305068</v>
      </c>
      <c r="K64" s="689">
        <f>'B_02 Benefity varianty'!J387</f>
        <v>1436485.9180733066</v>
      </c>
      <c r="L64" s="689">
        <f>'B_02 Benefity varianty'!K387</f>
        <v>1401321.8192727335</v>
      </c>
      <c r="M64" s="698">
        <f t="shared" si="8"/>
        <v>9700809.759487832</v>
      </c>
    </row>
    <row r="65" spans="1:14" ht="14.25" thickBot="1">
      <c r="B65" s="694" t="s">
        <v>845</v>
      </c>
      <c r="C65" s="695"/>
      <c r="D65" s="695"/>
      <c r="E65" s="696">
        <f t="shared" ref="E65:M65" si="9">SUM(E58:E64)</f>
        <v>749663.60692556598</v>
      </c>
      <c r="F65" s="696">
        <f t="shared" si="9"/>
        <v>3856701.1995198671</v>
      </c>
      <c r="G65" s="696">
        <f t="shared" si="9"/>
        <v>6908521.6315281466</v>
      </c>
      <c r="H65" s="696">
        <f t="shared" si="9"/>
        <v>7312564.7434053337</v>
      </c>
      <c r="I65" s="696">
        <f t="shared" si="9"/>
        <v>7710962.7209726842</v>
      </c>
      <c r="J65" s="696">
        <f t="shared" si="9"/>
        <v>8103037.660874702</v>
      </c>
      <c r="K65" s="696">
        <f t="shared" si="9"/>
        <v>8488135.5491673686</v>
      </c>
      <c r="L65" s="696">
        <f t="shared" si="9"/>
        <v>8865626.528707223</v>
      </c>
      <c r="M65" s="701">
        <f t="shared" si="9"/>
        <v>51995213.641100898</v>
      </c>
    </row>
    <row r="66" spans="1:14">
      <c r="B66" s="382" t="s">
        <v>1348</v>
      </c>
      <c r="E66" s="937">
        <f>SUM('B_02 Benefity varianty'!D347:D350)</f>
        <v>2176.1782940624998</v>
      </c>
      <c r="F66" s="937">
        <f>SUM('B_02 Benefity varianty'!E347:E350)</f>
        <v>16170.799846110001</v>
      </c>
      <c r="G66" s="937">
        <f>SUM('B_02 Benefity varianty'!F347:F350)</f>
        <v>32564.865173329996</v>
      </c>
      <c r="H66" s="937">
        <f>SUM('B_02 Benefity varianty'!G347:G350)</f>
        <v>32788.130654439999</v>
      </c>
      <c r="I66" s="937">
        <f>SUM('B_02 Benefity varianty'!H347:H350)</f>
        <v>33011.39613555</v>
      </c>
      <c r="J66" s="937">
        <f>SUM('B_02 Benefity varianty'!I347:I350)</f>
        <v>33234.66161666</v>
      </c>
      <c r="K66" s="937">
        <f>SUM('B_02 Benefity varianty'!J347:J350)</f>
        <v>33457.92709777</v>
      </c>
      <c r="L66" s="937">
        <f>SUM('B_02 Benefity varianty'!K347:K350)</f>
        <v>33681.19257888</v>
      </c>
    </row>
    <row r="67" spans="1:14">
      <c r="B67" s="382" t="s">
        <v>266</v>
      </c>
      <c r="E67" s="937" cm="1">
        <f t="array" ref="E67:L67">'B_02 Benefity varianty'!D351:K351</f>
        <v>101333.72555468749</v>
      </c>
      <c r="F67" s="937">
        <v>775515.68560830003</v>
      </c>
      <c r="G67" s="937">
        <v>1561738.6883749</v>
      </c>
      <c r="H67" s="937">
        <v>1572446.0055332</v>
      </c>
      <c r="I67" s="937">
        <v>1583153.3226915</v>
      </c>
      <c r="J67" s="937">
        <v>1593860.6398498002</v>
      </c>
      <c r="K67" s="937">
        <v>1604567.9570081001</v>
      </c>
      <c r="L67" s="937">
        <v>1615275.2741664003</v>
      </c>
    </row>
    <row r="68" spans="1:14">
      <c r="B68" s="382" t="s">
        <v>1349</v>
      </c>
      <c r="E68" s="937">
        <f>SUM('B_02 Benefity varianty'!D357:D360)</f>
        <v>4470360.6486814627</v>
      </c>
      <c r="F68" s="937">
        <f>SUM('B_02 Benefity varianty'!E357:E360)</f>
        <v>34787804.362802401</v>
      </c>
      <c r="G68" s="937">
        <f>SUM('B_02 Benefity varianty'!F357:F360)</f>
        <v>70055913.716807187</v>
      </c>
      <c r="H68" s="937">
        <f>SUM('B_02 Benefity varianty'!G357:G360)</f>
        <v>70536218.708009616</v>
      </c>
      <c r="I68" s="937">
        <f>SUM('B_02 Benefity varianty'!H357:H360)</f>
        <v>71016523.699212</v>
      </c>
      <c r="J68" s="937">
        <f>SUM('B_02 Benefity varianty'!I357:I360)</f>
        <v>71496828.690414414</v>
      </c>
      <c r="K68" s="937">
        <f>SUM('B_02 Benefity varianty'!J357:J360)</f>
        <v>71977133.681616783</v>
      </c>
      <c r="L68" s="937">
        <f>SUM('B_02 Benefity varianty'!K357:K360)</f>
        <v>72457438.672819212</v>
      </c>
    </row>
    <row r="69" spans="1:14">
      <c r="B69" s="382" t="s">
        <v>1351</v>
      </c>
      <c r="E69" s="937">
        <f>'B_01 Benefity súhrn'!E70/'B_02 Benefity varianty'!$F$40</f>
        <v>25092.49348611942</v>
      </c>
      <c r="F69" s="937">
        <f>'B_01 Benefity súhrn'!F70/'B_02 Benefity varianty'!$F$40</f>
        <v>101346.86359347374</v>
      </c>
      <c r="G69" s="937">
        <f>'B_01 Benefity súhrn'!G70/'B_02 Benefity varianty'!$F$40</f>
        <v>153084.15716285759</v>
      </c>
      <c r="H69" s="937">
        <f>'B_01 Benefity súhrn'!H70/'B_02 Benefity varianty'!$F$40</f>
        <v>202717.20686148727</v>
      </c>
      <c r="I69" s="937">
        <f>'B_01 Benefity súhrn'!I70/'B_02 Benefity varianty'!$F$40</f>
        <v>252398.61029938923</v>
      </c>
      <c r="J69" s="937">
        <f>'B_01 Benefity súhrn'!J70/'B_02 Benefity varianty'!$F$40</f>
        <v>302157.80455509527</v>
      </c>
      <c r="K69" s="937">
        <f>'B_01 Benefity súhrn'!K70/'B_02 Benefity varianty'!$F$40</f>
        <v>352024.84780303418</v>
      </c>
      <c r="L69" s="937">
        <f>'B_01 Benefity súhrn'!L70/'B_02 Benefity varianty'!$F$40</f>
        <v>402030.48373154632</v>
      </c>
    </row>
    <row r="70" spans="1:14">
      <c r="B70" s="382" t="s">
        <v>1352</v>
      </c>
      <c r="E70" s="937">
        <f>((('B_02 Benefity varianty'!D91*'B_02 Benefity varianty'!$F$45)/2)+('B_02 Benefity varianty'!D91*(1-'B_02 Benefity varianty'!$F$45)))*'B_02 Benefity varianty'!D60+((E67*'B_02 Benefity varianty'!$F$45/2)+(E67*(1-'B_02 Benefity varianty'!$F$45)))</f>
        <v>8155060.3829888115</v>
      </c>
      <c r="F70" s="937">
        <f>((('B_02 Benefity varianty'!E91*'B_02 Benefity varianty'!$F$45)/2)+('B_02 Benefity varianty'!E91*(1-'B_02 Benefity varianty'!$F$45)))*'B_02 Benefity varianty'!E60+((F67*'B_02 Benefity varianty'!$F$45/2)+(F67*(1-'B_02 Benefity varianty'!$F$45)))</f>
        <v>32937730.667878963</v>
      </c>
      <c r="G70" s="937">
        <f>((('B_02 Benefity varianty'!F91*'B_02 Benefity varianty'!$F$45)/2)+('B_02 Benefity varianty'!F91*(1-'B_02 Benefity varianty'!$F$45)))*'B_02 Benefity varianty'!F60+((G67*'B_02 Benefity varianty'!$F$45/2)+(G67*(1-'B_02 Benefity varianty'!$F$45)))</f>
        <v>49752351.077928714</v>
      </c>
      <c r="H70" s="937">
        <f>((('B_02 Benefity varianty'!G91*'B_02 Benefity varianty'!$F$45)/2)+('B_02 Benefity varianty'!G91*(1-'B_02 Benefity varianty'!$F$45)))*'B_02 Benefity varianty'!G60+((H67*'B_02 Benefity varianty'!$F$45/2)+(H67*(1-'B_02 Benefity varianty'!$F$45)))</f>
        <v>65883092.22998336</v>
      </c>
      <c r="I70" s="937">
        <f>((('B_02 Benefity varianty'!H91*'B_02 Benefity varianty'!$F$45)/2)+('B_02 Benefity varianty'!H91*(1-'B_02 Benefity varianty'!$F$45)))*'B_02 Benefity varianty'!H60+((I67*'B_02 Benefity varianty'!$F$45/2)+(I67*(1-'B_02 Benefity varianty'!$F$45)))</f>
        <v>82029548.347301498</v>
      </c>
      <c r="J70" s="937">
        <f>((('B_02 Benefity varianty'!I91*'B_02 Benefity varianty'!$F$45)/2)+('B_02 Benefity varianty'!I91*(1-'B_02 Benefity varianty'!$F$45)))*'B_02 Benefity varianty'!I60+((J67*'B_02 Benefity varianty'!$F$45/2)+(J67*(1-'B_02 Benefity varianty'!$F$45)))</f>
        <v>98201286.480405957</v>
      </c>
      <c r="K70" s="937">
        <f>((('B_02 Benefity varianty'!J91*'B_02 Benefity varianty'!$F$45)/2)+('B_02 Benefity varianty'!J91*(1-'B_02 Benefity varianty'!$F$45)))*'B_02 Benefity varianty'!J60+((K67*'B_02 Benefity varianty'!$F$45/2)+(K67*(1-'B_02 Benefity varianty'!$F$45)))</f>
        <v>114408075.53598611</v>
      </c>
      <c r="L70" s="937">
        <f>((('B_02 Benefity varianty'!K91*'B_02 Benefity varianty'!$F$45)/2)+('B_02 Benefity varianty'!K91*(1-'B_02 Benefity varianty'!$F$45)))*'B_02 Benefity varianty'!K60+((L67*'B_02 Benefity varianty'!$F$45/2)+(L67*(1-'B_02 Benefity varianty'!$F$45)))</f>
        <v>130659907.21275255</v>
      </c>
    </row>
    <row r="71" spans="1:14">
      <c r="A71" s="383" t="s">
        <v>681</v>
      </c>
    </row>
    <row r="72" spans="1:14" ht="14.25" thickBot="1">
      <c r="E72" s="384"/>
      <c r="F72" s="384"/>
      <c r="G72" s="384"/>
      <c r="H72" s="384"/>
      <c r="I72" s="384"/>
      <c r="J72" s="384"/>
      <c r="K72" s="384"/>
      <c r="L72" s="384"/>
      <c r="M72" s="384"/>
    </row>
    <row r="73" spans="1:14">
      <c r="B73" s="690" t="s">
        <v>530</v>
      </c>
      <c r="C73" s="691">
        <v>2024</v>
      </c>
      <c r="D73" s="691">
        <v>2025</v>
      </c>
      <c r="E73" s="691">
        <v>2026</v>
      </c>
      <c r="F73" s="691">
        <v>2027</v>
      </c>
      <c r="G73" s="691">
        <v>2028</v>
      </c>
      <c r="H73" s="691">
        <v>2029</v>
      </c>
      <c r="I73" s="691">
        <v>2030</v>
      </c>
      <c r="J73" s="691">
        <v>2031</v>
      </c>
      <c r="K73" s="691">
        <v>2032</v>
      </c>
      <c r="L73" s="691">
        <v>2033</v>
      </c>
      <c r="M73" s="697" t="s">
        <v>881</v>
      </c>
      <c r="N73" s="382" t="s">
        <v>1347</v>
      </c>
    </row>
    <row r="74" spans="1:14">
      <c r="B74" s="687" t="s">
        <v>416</v>
      </c>
      <c r="C74" s="688"/>
      <c r="D74" s="688"/>
      <c r="E74" s="689">
        <f>'B_02 Benefity varianty'!D435</f>
        <v>73200.938128948212</v>
      </c>
      <c r="F74" s="689">
        <f>'B_02 Benefity varianty'!E435</f>
        <v>592963.0365639925</v>
      </c>
      <c r="G74" s="689">
        <f>'B_02 Benefity varianty'!F435</f>
        <v>1201123.4581196308</v>
      </c>
      <c r="H74" s="689">
        <f>'B_02 Benefity varianty'!G435</f>
        <v>1216823.5251632333</v>
      </c>
      <c r="I74" s="689">
        <f>'B_02 Benefity varianty'!H435</f>
        <v>1233042.6056095362</v>
      </c>
      <c r="J74" s="689">
        <f>'B_02 Benefity varianty'!I435</f>
        <v>1249796.9667137861</v>
      </c>
      <c r="K74" s="689">
        <f>'B_02 Benefity varianty'!J435</f>
        <v>1267102.7737281322</v>
      </c>
      <c r="L74" s="689">
        <f>'B_02 Benefity varianty'!K435</f>
        <v>1284976.0493008494</v>
      </c>
      <c r="M74" s="698">
        <f>SUM(E74:L74)</f>
        <v>8119029.3533281088</v>
      </c>
      <c r="N74" s="933">
        <f>'B_01 Benefity súhrn'!M74/SUM('B_02 Benefity varianty'!$D$129:$K$129)</f>
        <v>3.6359063378269504E-3</v>
      </c>
    </row>
    <row r="75" spans="1:14">
      <c r="B75" s="685" t="s">
        <v>875</v>
      </c>
      <c r="C75" s="686"/>
      <c r="D75" s="686"/>
      <c r="E75" s="689">
        <f>'B_02 Benefity varianty'!D436</f>
        <v>204013.08048348367</v>
      </c>
      <c r="F75" s="689">
        <f>'B_02 Benefity varianty'!E436</f>
        <v>401036.5682796383</v>
      </c>
      <c r="G75" s="689">
        <f>'B_02 Benefity varianty'!F436</f>
        <v>394428.42627479881</v>
      </c>
      <c r="H75" s="689">
        <f>'B_02 Benefity varianty'!G436</f>
        <v>387198.55132359406</v>
      </c>
      <c r="I75" s="689">
        <f>'B_02 Benefity varianty'!H436</f>
        <v>380153.36744774447</v>
      </c>
      <c r="J75" s="689">
        <f>'B_02 Benefity varianty'!I436</f>
        <v>373287.93025672273</v>
      </c>
      <c r="K75" s="689">
        <f>'B_02 Benefity varianty'!J436</f>
        <v>366597.43126894685</v>
      </c>
      <c r="L75" s="689">
        <f>'B_02 Benefity varianty'!K436</f>
        <v>360077.19410823105</v>
      </c>
      <c r="M75" s="698">
        <f t="shared" ref="M75:M80" si="10">SUM(E75:L75)</f>
        <v>2866792.5494431597</v>
      </c>
      <c r="N75" s="935"/>
    </row>
    <row r="76" spans="1:14">
      <c r="B76" s="685" t="s">
        <v>880</v>
      </c>
      <c r="C76" s="686"/>
      <c r="D76" s="686"/>
      <c r="E76" s="689">
        <f>'B_02 Benefity varianty'!D437</f>
        <v>272457.50593891187</v>
      </c>
      <c r="F76" s="689">
        <f>'B_02 Benefity varianty'!E437</f>
        <v>1088390.4093933019</v>
      </c>
      <c r="G76" s="689">
        <f>'B_02 Benefity varianty'!F437</f>
        <v>1631546.9831043396</v>
      </c>
      <c r="H76" s="689">
        <f>'B_02 Benefity varianty'!G437</f>
        <v>2169965.3603693061</v>
      </c>
      <c r="I76" s="689">
        <f>'B_02 Benefity varianty'!H437</f>
        <v>2706117.6098403553</v>
      </c>
      <c r="J76" s="689">
        <f>'B_02 Benefity varianty'!I437</f>
        <v>3240274.1814944558</v>
      </c>
      <c r="K76" s="689">
        <f>'B_02 Benefity varianty'!J437</f>
        <v>3772706.6424751705</v>
      </c>
      <c r="L76" s="689">
        <f>'B_02 Benefity varianty'!K437</f>
        <v>4303688.0232311646</v>
      </c>
      <c r="M76" s="698">
        <f t="shared" si="10"/>
        <v>19185146.715847008</v>
      </c>
      <c r="N76" s="935"/>
    </row>
    <row r="77" spans="1:14">
      <c r="B77" s="685" t="s">
        <v>417</v>
      </c>
      <c r="C77" s="686"/>
      <c r="D77" s="686"/>
      <c r="E77" s="689">
        <f>'B_02 Benefity varianty'!D438</f>
        <v>288825.26784022921</v>
      </c>
      <c r="F77" s="689">
        <f>'B_02 Benefity varianty'!E438</f>
        <v>2326663.9252432366</v>
      </c>
      <c r="G77" s="689">
        <f>'B_02 Benefity varianty'!F438</f>
        <v>4685451.415529279</v>
      </c>
      <c r="H77" s="689">
        <f>'B_02 Benefity varianty'!G438</f>
        <v>4717574.9805720858</v>
      </c>
      <c r="I77" s="689">
        <f>'B_02 Benefity varianty'!H438</f>
        <v>4749698.5456148908</v>
      </c>
      <c r="J77" s="689">
        <f>'B_02 Benefity varianty'!I438</f>
        <v>4781822.1106576975</v>
      </c>
      <c r="K77" s="689">
        <f>'B_02 Benefity varianty'!J438</f>
        <v>4813945.6757005043</v>
      </c>
      <c r="L77" s="689">
        <f>'B_02 Benefity varianty'!K438</f>
        <v>4846069.2407433102</v>
      </c>
      <c r="M77" s="698">
        <f t="shared" si="10"/>
        <v>31210051.161901232</v>
      </c>
    </row>
    <row r="78" spans="1:14">
      <c r="B78" s="685" t="s">
        <v>418</v>
      </c>
      <c r="C78" s="686"/>
      <c r="D78" s="686"/>
      <c r="E78" s="689">
        <f>'B_02 Benefity varianty'!D439</f>
        <v>-14100.606525763091</v>
      </c>
      <c r="F78" s="689">
        <f>'B_02 Benefity varianty'!E439</f>
        <v>-116985.33830674598</v>
      </c>
      <c r="G78" s="689">
        <f>'B_02 Benefity varianty'!F439</f>
        <v>-243635.64852390625</v>
      </c>
      <c r="H78" s="689">
        <f>'B_02 Benefity varianty'!G439</f>
        <v>-254579.49074330227</v>
      </c>
      <c r="I78" s="689">
        <f>'B_02 Benefity varianty'!H439</f>
        <v>-266777.02968577202</v>
      </c>
      <c r="J78" s="689">
        <f>'B_02 Benefity varianty'!I439</f>
        <v>-280477.72120264114</v>
      </c>
      <c r="K78" s="689">
        <f>'B_02 Benefity varianty'!J439</f>
        <v>-295924.55365937017</v>
      </c>
      <c r="L78" s="689">
        <f>'B_02 Benefity varianty'!K439</f>
        <v>-313354.03751040052</v>
      </c>
      <c r="M78" s="698">
        <f t="shared" si="10"/>
        <v>-1785834.4261579015</v>
      </c>
    </row>
    <row r="79" spans="1:14">
      <c r="B79" s="685" t="s">
        <v>419</v>
      </c>
      <c r="C79" s="686"/>
      <c r="D79" s="686"/>
      <c r="E79" s="689">
        <f>'B_02 Benefity varianty'!D440</f>
        <v>13882.753701643149</v>
      </c>
      <c r="F79" s="689">
        <f>'B_02 Benefity varianty'!E440</f>
        <v>111765.27180258714</v>
      </c>
      <c r="G79" s="689">
        <f>'B_02 Benefity varianty'!F440</f>
        <v>224910.61742119229</v>
      </c>
      <c r="H79" s="689">
        <f>'B_02 Benefity varianty'!G440</f>
        <v>226264.78963274194</v>
      </c>
      <c r="I79" s="689">
        <f>'B_02 Benefity varianty'!H440</f>
        <v>227593.5700931371</v>
      </c>
      <c r="J79" s="689">
        <f>'B_02 Benefity varianty'!I440</f>
        <v>228891.90644738282</v>
      </c>
      <c r="K79" s="689">
        <f>'B_02 Benefity varianty'!J440</f>
        <v>230154.87732973311</v>
      </c>
      <c r="L79" s="689">
        <f>'B_02 Benefity varianty'!K440</f>
        <v>231377.69257483596</v>
      </c>
      <c r="M79" s="698">
        <f t="shared" si="10"/>
        <v>1494841.4790032534</v>
      </c>
    </row>
    <row r="80" spans="1:14">
      <c r="B80" s="692" t="s">
        <v>420</v>
      </c>
      <c r="C80" s="693"/>
      <c r="D80" s="693"/>
      <c r="E80" s="689">
        <f>'B_02 Benefity varianty'!D441</f>
        <v>150255.43742096471</v>
      </c>
      <c r="F80" s="689">
        <f>'B_02 Benefity varianty'!E441</f>
        <v>1195129.1013502069</v>
      </c>
      <c r="G80" s="689">
        <f>'B_02 Benefity varianty'!F441</f>
        <v>2370566.5233776085</v>
      </c>
      <c r="H80" s="689">
        <f>'B_02 Benefity varianty'!G441</f>
        <v>2345124.9444886753</v>
      </c>
      <c r="I80" s="689">
        <f>'B_02 Benefity varianty'!H441</f>
        <v>2314046.6484178402</v>
      </c>
      <c r="J80" s="689">
        <f>'B_02 Benefity varianty'!I441</f>
        <v>2276210.0624135677</v>
      </c>
      <c r="K80" s="689">
        <f>'B_02 Benefity varianty'!J441</f>
        <v>2230522.6920396904</v>
      </c>
      <c r="L80" s="689">
        <f>'B_02 Benefity varianty'!K441</f>
        <v>2175921.1680477224</v>
      </c>
      <c r="M80" s="698">
        <f t="shared" si="10"/>
        <v>15057776.577556277</v>
      </c>
    </row>
    <row r="81" spans="1:14" ht="14.25" thickBot="1">
      <c r="B81" s="694" t="s">
        <v>845</v>
      </c>
      <c r="C81" s="695"/>
      <c r="D81" s="695"/>
      <c r="E81" s="696">
        <f t="shared" ref="E81:M81" si="11">SUM(E74:E80)</f>
        <v>988534.37698841782</v>
      </c>
      <c r="F81" s="696">
        <f t="shared" si="11"/>
        <v>5598962.9743262175</v>
      </c>
      <c r="G81" s="696">
        <f t="shared" si="11"/>
        <v>10264391.775302943</v>
      </c>
      <c r="H81" s="696">
        <f t="shared" si="11"/>
        <v>10808372.660806336</v>
      </c>
      <c r="I81" s="696">
        <f t="shared" si="11"/>
        <v>11343875.317337731</v>
      </c>
      <c r="J81" s="696">
        <f t="shared" si="11"/>
        <v>11869805.436780971</v>
      </c>
      <c r="K81" s="696">
        <f t="shared" si="11"/>
        <v>12385105.538882809</v>
      </c>
      <c r="L81" s="696">
        <f t="shared" si="11"/>
        <v>12888755.330495713</v>
      </c>
      <c r="M81" s="701">
        <f t="shared" si="11"/>
        <v>76147803.410921142</v>
      </c>
    </row>
    <row r="82" spans="1:14">
      <c r="B82" s="382" t="s">
        <v>1348</v>
      </c>
      <c r="E82" s="937">
        <f>SUM('B_02 Benefity varianty'!D400:D403)</f>
        <v>3264.2674410937489</v>
      </c>
      <c r="F82" s="937">
        <f>SUM('B_02 Benefity varianty'!E400:E403)</f>
        <v>26295.667807499998</v>
      </c>
      <c r="G82" s="937">
        <f>SUM('B_02 Benefity varianty'!F400:F403)</f>
        <v>52954.392172499996</v>
      </c>
      <c r="H82" s="937">
        <f>SUM('B_02 Benefity varianty'!G400:G403)</f>
        <v>53317.448729999996</v>
      </c>
      <c r="I82" s="937">
        <f>SUM('B_02 Benefity varianty'!H400:H403)</f>
        <v>53680.505287499996</v>
      </c>
      <c r="J82" s="937">
        <f>SUM('B_02 Benefity varianty'!I400:I403)</f>
        <v>54043.561844999997</v>
      </c>
      <c r="K82" s="937">
        <f>SUM('B_02 Benefity varianty'!J400:J403)</f>
        <v>54406.618402499997</v>
      </c>
      <c r="L82" s="937">
        <f>SUM('B_02 Benefity varianty'!K400:K403)</f>
        <v>54769.674960000004</v>
      </c>
      <c r="M82" s="384"/>
    </row>
    <row r="83" spans="1:14">
      <c r="B83" s="382" t="s">
        <v>266</v>
      </c>
      <c r="E83" s="937">
        <f>'B_02 Benefity varianty'!D404</f>
        <v>152000.58833203124</v>
      </c>
      <c r="F83" s="937">
        <f>'B_02 Benefity varianty'!E404</f>
        <v>1224457.5695625001</v>
      </c>
      <c r="G83" s="937">
        <f>'B_02 Benefity varianty'!F404</f>
        <v>2465820.8649374996</v>
      </c>
      <c r="H83" s="937">
        <f>'B_02 Benefity varianty'!G404</f>
        <v>2482726.59075</v>
      </c>
      <c r="I83" s="937">
        <f>'B_02 Benefity varianty'!H404</f>
        <v>2499632.3165624994</v>
      </c>
      <c r="J83" s="937">
        <f>'B_02 Benefity varianty'!I404</f>
        <v>2516538.0423750002</v>
      </c>
      <c r="K83" s="937">
        <f>'B_02 Benefity varianty'!J404</f>
        <v>2533443.7681875001</v>
      </c>
      <c r="L83" s="937">
        <f>'B_02 Benefity varianty'!K404</f>
        <v>2550349.4939999999</v>
      </c>
      <c r="M83" s="384"/>
    </row>
    <row r="84" spans="1:14">
      <c r="B84" s="382" t="s">
        <v>1349</v>
      </c>
      <c r="E84" s="937">
        <f>SUM('B_02 Benefity varianty'!D410:D413)</f>
        <v>6705540.9730221936</v>
      </c>
      <c r="F84" s="937">
        <f>SUM('B_02 Benefity varianty'!E410:E413)</f>
        <v>54017227.778705098</v>
      </c>
      <c r="G84" s="937">
        <f>SUM('B_02 Benefity varianty'!F410:F413)</f>
        <v>108780255.54646529</v>
      </c>
      <c r="H84" s="937">
        <f>SUM('B_02 Benefity varianty'!G410:G413)</f>
        <v>109526055.53552042</v>
      </c>
      <c r="I84" s="937">
        <f>SUM('B_02 Benefity varianty'!H410:H413)</f>
        <v>110271855.52457549</v>
      </c>
      <c r="J84" s="937">
        <f>SUM('B_02 Benefity varianty'!I410:I413)</f>
        <v>111017655.51363061</v>
      </c>
      <c r="K84" s="937">
        <f>SUM('B_02 Benefity varianty'!J410:J413)</f>
        <v>111763455.50268571</v>
      </c>
      <c r="L84" s="937">
        <f>SUM('B_02 Benefity varianty'!K410:K413)</f>
        <v>112509255.49174081</v>
      </c>
      <c r="M84" s="384"/>
    </row>
    <row r="85" spans="1:14">
      <c r="B85" s="382" t="s">
        <v>1351</v>
      </c>
      <c r="E85" s="937">
        <f>E86/'B_02 Benefity varianty'!$F$40</f>
        <v>33364.158478165715</v>
      </c>
      <c r="F85" s="937">
        <f>F86/'B_02 Benefity varianty'!$F$40</f>
        <v>134421.24483212765</v>
      </c>
      <c r="G85" s="937">
        <f>G86/'B_02 Benefity varianty'!$F$40</f>
        <v>202686.62244006275</v>
      </c>
      <c r="H85" s="937">
        <f>H86/'B_02 Benefity varianty'!$F$40</f>
        <v>268854.24817949632</v>
      </c>
      <c r="I85" s="937">
        <f>I86/'B_02 Benefity varianty'!$F$40</f>
        <v>335086.34557129291</v>
      </c>
      <c r="J85" s="937">
        <f>J86/'B_02 Benefity varianty'!$F$40</f>
        <v>401422.16405349487</v>
      </c>
      <c r="K85" s="937">
        <f>K86/'B_02 Benefity varianty'!$F$40</f>
        <v>467901.78119200742</v>
      </c>
      <c r="L85" s="937">
        <f>L86/'B_02 Benefity varianty'!$F$40</f>
        <v>534566.18857128429</v>
      </c>
      <c r="M85" s="384"/>
    </row>
    <row r="86" spans="1:14">
      <c r="B86" s="382" t="s">
        <v>1352</v>
      </c>
      <c r="E86" s="937">
        <f>((('B_02 Benefity varianty'!D91*'B_02 Benefity varianty'!$F$45)/2)+('B_02 Benefity varianty'!D91*(1-'B_02 Benefity varianty'!$F$45)))*'B_02 Benefity varianty'!D65+((E67*'B_02 Benefity varianty'!$F$45/2)+(E67*(1-'B_02 Benefity varianty'!$F$45)))</f>
        <v>10843351.505403858</v>
      </c>
      <c r="F86" s="937">
        <f>((('B_02 Benefity varianty'!E91*'B_02 Benefity varianty'!$F$45)/2)+('B_02 Benefity varianty'!E91*(1-'B_02 Benefity varianty'!$F$45)))*'B_02 Benefity varianty'!E65+((F67*'B_02 Benefity varianty'!$F$45/2)+(F67*(1-'B_02 Benefity varianty'!$F$45)))</f>
        <v>43686904.570441484</v>
      </c>
      <c r="G86" s="937">
        <f>((('B_02 Benefity varianty'!F91*'B_02 Benefity varianty'!$F$45)/2)+('B_02 Benefity varianty'!F91*(1-'B_02 Benefity varianty'!$F$45)))*'B_02 Benefity varianty'!F65+((G67*'B_02 Benefity varianty'!$F$45/2)+(G67*(1-'B_02 Benefity varianty'!$F$45)))</f>
        <v>65873152.293020397</v>
      </c>
      <c r="H86" s="937">
        <f>((('B_02 Benefity varianty'!G91*'B_02 Benefity varianty'!$F$45)/2)+('B_02 Benefity varianty'!G91*(1-'B_02 Benefity varianty'!$F$45)))*'B_02 Benefity varianty'!G65+((H67*'B_02 Benefity varianty'!$F$45/2)+(H67*(1-'B_02 Benefity varianty'!$F$45)))</f>
        <v>87377630.658336297</v>
      </c>
      <c r="I86" s="937">
        <f>((('B_02 Benefity varianty'!H91*'B_02 Benefity varianty'!$F$45)/2)+('B_02 Benefity varianty'!H91*(1-'B_02 Benefity varianty'!$F$45)))*'B_02 Benefity varianty'!H65+((I67*'B_02 Benefity varianty'!$F$45/2)+(I67*(1-'B_02 Benefity varianty'!$F$45)))</f>
        <v>108903062.3106702</v>
      </c>
      <c r="J86" s="937">
        <f>((('B_02 Benefity varianty'!I91*'B_02 Benefity varianty'!$F$45)/2)+('B_02 Benefity varianty'!I91*(1-'B_02 Benefity varianty'!$F$45)))*'B_02 Benefity varianty'!I65+((J67*'B_02 Benefity varianty'!$F$45/2)+(J67*(1-'B_02 Benefity varianty'!$F$45)))</f>
        <v>130462203.31738584</v>
      </c>
      <c r="K86" s="937">
        <f>((('B_02 Benefity varianty'!J91*'B_02 Benefity varianty'!$F$45)/2)+('B_02 Benefity varianty'!J91*(1-'B_02 Benefity varianty'!$F$45)))*'B_02 Benefity varianty'!J65+((K67*'B_02 Benefity varianty'!$F$45/2)+(K67*(1-'B_02 Benefity varianty'!$F$45)))</f>
        <v>152068078.88740242</v>
      </c>
      <c r="L86" s="937">
        <f>((('B_02 Benefity varianty'!K91*'B_02 Benefity varianty'!$F$45)/2)+('B_02 Benefity varianty'!K91*(1-'B_02 Benefity varianty'!$F$45)))*'B_02 Benefity varianty'!K65+((L67*'B_02 Benefity varianty'!$F$45/2)+(L67*(1-'B_02 Benefity varianty'!$F$45)))</f>
        <v>173734011.28566739</v>
      </c>
      <c r="M86" s="384"/>
    </row>
    <row r="87" spans="1:14">
      <c r="A87" s="383" t="s">
        <v>682</v>
      </c>
    </row>
    <row r="88" spans="1:14" ht="14.25" thickBot="1"/>
    <row r="89" spans="1:14">
      <c r="B89" s="690" t="s">
        <v>530</v>
      </c>
      <c r="C89" s="691">
        <v>2024</v>
      </c>
      <c r="D89" s="691">
        <v>2025</v>
      </c>
      <c r="E89" s="691">
        <v>2026</v>
      </c>
      <c r="F89" s="691">
        <v>2027</v>
      </c>
      <c r="G89" s="691">
        <v>2028</v>
      </c>
      <c r="H89" s="691">
        <v>2029</v>
      </c>
      <c r="I89" s="691">
        <v>2030</v>
      </c>
      <c r="J89" s="691">
        <v>2031</v>
      </c>
      <c r="K89" s="691">
        <v>2032</v>
      </c>
      <c r="L89" s="691">
        <v>2033</v>
      </c>
      <c r="M89" s="697" t="s">
        <v>881</v>
      </c>
      <c r="N89" s="382" t="s">
        <v>1347</v>
      </c>
    </row>
    <row r="90" spans="1:14">
      <c r="B90" s="687" t="s">
        <v>416</v>
      </c>
      <c r="C90" s="688"/>
      <c r="D90" s="688"/>
      <c r="E90" s="689">
        <f>'B_02 Benefity varianty'!D488</f>
        <v>97601.250838577747</v>
      </c>
      <c r="F90" s="689">
        <f>'B_02 Benefity varianty'!E488</f>
        <v>790617.38208532333</v>
      </c>
      <c r="G90" s="689">
        <f>'B_02 Benefity varianty'!F488</f>
        <v>1601497.9441595078</v>
      </c>
      <c r="H90" s="689">
        <f>'B_02 Benefity varianty'!G488</f>
        <v>1622431.3668842912</v>
      </c>
      <c r="I90" s="689">
        <f>'B_02 Benefity varianty'!H488</f>
        <v>1644056.8074793816</v>
      </c>
      <c r="J90" s="689">
        <f>'B_02 Benefity varianty'!I488</f>
        <v>1666395.9556183815</v>
      </c>
      <c r="K90" s="689">
        <f>'B_02 Benefity varianty'!J488</f>
        <v>1689470.3649708033</v>
      </c>
      <c r="L90" s="689">
        <f>'B_02 Benefity varianty'!K488</f>
        <v>1713301.3990677595</v>
      </c>
      <c r="M90" s="698">
        <f>SUM(E90:L90)</f>
        <v>10825372.471104026</v>
      </c>
      <c r="N90" s="933">
        <f>'B_01 Benefity súhrn'!M90/SUM('B_02 Benefity varianty'!$D$129:$K$129)</f>
        <v>4.847875117102547E-3</v>
      </c>
    </row>
    <row r="91" spans="1:14">
      <c r="B91" s="685" t="s">
        <v>875</v>
      </c>
      <c r="C91" s="686"/>
      <c r="D91" s="686"/>
      <c r="E91" s="689">
        <f>'B_02 Benefity varianty'!D489</f>
        <v>204047.28451085015</v>
      </c>
      <c r="F91" s="689">
        <f>'B_02 Benefity varianty'!E489</f>
        <v>401307.07102510775</v>
      </c>
      <c r="G91" s="689">
        <f>'B_02 Benefity varianty'!F489</f>
        <v>394963.19138579356</v>
      </c>
      <c r="H91" s="689">
        <f>'B_02 Benefity varianty'!G489</f>
        <v>387727.09525580663</v>
      </c>
      <c r="I91" s="689">
        <f>'B_02 Benefity varianty'!H489</f>
        <v>380675.70995417051</v>
      </c>
      <c r="J91" s="689">
        <f>'B_02 Benefity varianty'!I489</f>
        <v>373804.09156257095</v>
      </c>
      <c r="K91" s="689">
        <f>'B_02 Benefity varianty'!J489</f>
        <v>367107.43199484213</v>
      </c>
      <c r="L91" s="689">
        <f>'B_02 Benefity varianty'!K489</f>
        <v>360581.05519633408</v>
      </c>
      <c r="M91" s="698">
        <f t="shared" ref="M91:M96" si="12">SUM(E91:L91)</f>
        <v>2870212.9308854756</v>
      </c>
      <c r="N91" s="935"/>
    </row>
    <row r="92" spans="1:14">
      <c r="B92" s="685" t="s">
        <v>880</v>
      </c>
      <c r="C92" s="686"/>
      <c r="D92" s="686"/>
      <c r="E92" s="689">
        <f>'B_02 Benefity varianty'!D490</f>
        <v>340628.98136042885</v>
      </c>
      <c r="F92" s="689">
        <f>'B_02 Benefity varianty'!E490</f>
        <v>1361405.6730510013</v>
      </c>
      <c r="G92" s="689">
        <f>'B_02 Benefity varianty'!F490</f>
        <v>2042198.7882213329</v>
      </c>
      <c r="H92" s="689">
        <f>'B_02 Benefity varianty'!G490</f>
        <v>2716159.3293209546</v>
      </c>
      <c r="I92" s="689">
        <f>'B_02 Benefity varianty'!H490</f>
        <v>3387294.8741111169</v>
      </c>
      <c r="J92" s="689">
        <f>'B_02 Benefity varianty'!I490</f>
        <v>4055943.3102825829</v>
      </c>
      <c r="K92" s="689">
        <f>'B_02 Benefity varianty'!J490</f>
        <v>4722443.9161879774</v>
      </c>
      <c r="L92" s="689">
        <f>'B_02 Benefity varianty'!K490</f>
        <v>5387137.7931049773</v>
      </c>
      <c r="M92" s="698">
        <f t="shared" si="12"/>
        <v>24013212.665640369</v>
      </c>
      <c r="N92" s="935"/>
    </row>
    <row r="93" spans="1:14">
      <c r="B93" s="685" t="s">
        <v>417</v>
      </c>
      <c r="C93" s="686"/>
      <c r="D93" s="686"/>
      <c r="E93" s="689">
        <f>'B_02 Benefity varianty'!D491</f>
        <v>385100.35712030565</v>
      </c>
      <c r="F93" s="689">
        <f>'B_02 Benefity varianty'!E491</f>
        <v>3102218.5669909818</v>
      </c>
      <c r="G93" s="689">
        <f>'B_02 Benefity varianty'!F491</f>
        <v>6247268.5540390369</v>
      </c>
      <c r="H93" s="689">
        <f>'B_02 Benefity varianty'!G491</f>
        <v>6290099.9740961157</v>
      </c>
      <c r="I93" s="689">
        <f>'B_02 Benefity varianty'!H491</f>
        <v>6332931.3941531889</v>
      </c>
      <c r="J93" s="689">
        <f>'B_02 Benefity varianty'!I491</f>
        <v>6375762.814210264</v>
      </c>
      <c r="K93" s="689">
        <f>'B_02 Benefity varianty'!J491</f>
        <v>6418594.2342673372</v>
      </c>
      <c r="L93" s="689">
        <f>'B_02 Benefity varianty'!K491</f>
        <v>6461425.6543244133</v>
      </c>
      <c r="M93" s="698">
        <f t="shared" si="12"/>
        <v>41613401.549201645</v>
      </c>
    </row>
    <row r="94" spans="1:14">
      <c r="B94" s="685" t="s">
        <v>418</v>
      </c>
      <c r="C94" s="686"/>
      <c r="D94" s="686"/>
      <c r="E94" s="689">
        <f>'B_02 Benefity varianty'!D492</f>
        <v>-18800.808701017449</v>
      </c>
      <c r="F94" s="689">
        <f>'B_02 Benefity varianty'!E492</f>
        <v>-155980.45107566111</v>
      </c>
      <c r="G94" s="689">
        <f>'B_02 Benefity varianty'!F492</f>
        <v>-324847.53136520833</v>
      </c>
      <c r="H94" s="689">
        <f>'B_02 Benefity varianty'!G492</f>
        <v>-339439.32099106954</v>
      </c>
      <c r="I94" s="689">
        <f>'B_02 Benefity varianty'!H492</f>
        <v>-355702.70624769595</v>
      </c>
      <c r="J94" s="689">
        <f>'B_02 Benefity varianty'!I492</f>
        <v>-373970.29493685463</v>
      </c>
      <c r="K94" s="689">
        <f>'B_02 Benefity varianty'!J492</f>
        <v>-394566.07154582697</v>
      </c>
      <c r="L94" s="689">
        <f>'B_02 Benefity varianty'!K492</f>
        <v>-417805.38334720093</v>
      </c>
      <c r="M94" s="698">
        <f t="shared" si="12"/>
        <v>-2381112.5682105348</v>
      </c>
    </row>
    <row r="95" spans="1:14">
      <c r="B95" s="685" t="s">
        <v>419</v>
      </c>
      <c r="C95" s="686"/>
      <c r="D95" s="686"/>
      <c r="E95" s="689">
        <f>'B_02 Benefity varianty'!D493</f>
        <v>18510.338268857522</v>
      </c>
      <c r="F95" s="689">
        <f>'B_02 Benefity varianty'!E493</f>
        <v>149020.36240344963</v>
      </c>
      <c r="G95" s="689">
        <f>'B_02 Benefity varianty'!F493</f>
        <v>299880.82322825654</v>
      </c>
      <c r="H95" s="689">
        <f>'B_02 Benefity varianty'!G493</f>
        <v>301686.38617698936</v>
      </c>
      <c r="I95" s="689">
        <f>'B_02 Benefity varianty'!H493</f>
        <v>303458.09345751605</v>
      </c>
      <c r="J95" s="689">
        <f>'B_02 Benefity varianty'!I493</f>
        <v>305189.20859651064</v>
      </c>
      <c r="K95" s="689">
        <f>'B_02 Benefity varianty'!J493</f>
        <v>306873.16977297753</v>
      </c>
      <c r="L95" s="689">
        <f>'B_02 Benefity varianty'!K493</f>
        <v>308503.59009978129</v>
      </c>
      <c r="M95" s="698">
        <f t="shared" si="12"/>
        <v>1993121.9720043384</v>
      </c>
    </row>
    <row r="96" spans="1:14">
      <c r="B96" s="692" t="s">
        <v>420</v>
      </c>
      <c r="C96" s="693"/>
      <c r="D96" s="693"/>
      <c r="E96" s="689">
        <f>'B_02 Benefity varianty'!D494</f>
        <v>200340.58322795291</v>
      </c>
      <c r="F96" s="689">
        <f>'B_02 Benefity varianty'!E494</f>
        <v>1593505.4684669422</v>
      </c>
      <c r="G96" s="689">
        <f>'B_02 Benefity varianty'!F494</f>
        <v>3160755.3645034791</v>
      </c>
      <c r="H96" s="689">
        <f>'B_02 Benefity varianty'!G494</f>
        <v>3126833.2593182344</v>
      </c>
      <c r="I96" s="689">
        <f>'B_02 Benefity varianty'!H494</f>
        <v>3085395.531223787</v>
      </c>
      <c r="J96" s="689">
        <f>'B_02 Benefity varianty'!I494</f>
        <v>3034946.7498847563</v>
      </c>
      <c r="K96" s="689">
        <f>'B_02 Benefity varianty'!J494</f>
        <v>2974030.2560529206</v>
      </c>
      <c r="L96" s="689">
        <f>'B_02 Benefity varianty'!K494</f>
        <v>2901228.2240636307</v>
      </c>
      <c r="M96" s="698">
        <f t="shared" si="12"/>
        <v>20077035.436741706</v>
      </c>
    </row>
    <row r="97" spans="2:13" ht="14.25" thickBot="1">
      <c r="B97" s="694" t="s">
        <v>845</v>
      </c>
      <c r="C97" s="695"/>
      <c r="D97" s="695"/>
      <c r="E97" s="696">
        <f t="shared" ref="E97:M97" si="13">SUM(E90:E96)</f>
        <v>1227427.9866259554</v>
      </c>
      <c r="F97" s="696">
        <f t="shared" si="13"/>
        <v>7242094.0729471454</v>
      </c>
      <c r="G97" s="696">
        <f t="shared" si="13"/>
        <v>13421717.134172197</v>
      </c>
      <c r="H97" s="696">
        <f t="shared" si="13"/>
        <v>14105498.090061322</v>
      </c>
      <c r="I97" s="696">
        <f t="shared" si="13"/>
        <v>14778109.704131465</v>
      </c>
      <c r="J97" s="696">
        <f t="shared" si="13"/>
        <v>15438071.835218212</v>
      </c>
      <c r="K97" s="696">
        <f t="shared" si="13"/>
        <v>16083953.301701032</v>
      </c>
      <c r="L97" s="696">
        <f t="shared" si="13"/>
        <v>16714372.332509698</v>
      </c>
      <c r="M97" s="701">
        <f t="shared" si="13"/>
        <v>99011244.457367018</v>
      </c>
    </row>
    <row r="98" spans="2:13">
      <c r="B98" s="382" t="s">
        <v>1348</v>
      </c>
      <c r="E98" s="937">
        <f>SUM('B_02 Benefity varianty'!D453:D456)</f>
        <v>4352.3565881249997</v>
      </c>
      <c r="F98" s="937">
        <f>SUM('B_02 Benefity varianty'!E453:E456)</f>
        <v>35060.89041</v>
      </c>
      <c r="G98" s="937">
        <f>SUM('B_02 Benefity varianty'!F453:F456)</f>
        <v>70605.856230000005</v>
      </c>
      <c r="H98" s="937">
        <f>SUM('B_02 Benefity varianty'!G453:G456)</f>
        <v>71089.931639999995</v>
      </c>
      <c r="I98" s="937">
        <f>SUM('B_02 Benefity varianty'!H453:H456)</f>
        <v>71574.00705</v>
      </c>
      <c r="J98" s="937">
        <f>SUM('B_02 Benefity varianty'!I453:I456)</f>
        <v>72058.082460000005</v>
      </c>
      <c r="K98" s="937">
        <f>SUM('B_02 Benefity varianty'!J453:J456)</f>
        <v>72542.157869999995</v>
      </c>
      <c r="L98" s="937">
        <f>SUM('B_02 Benefity varianty'!K453:K456)</f>
        <v>73026.23328</v>
      </c>
    </row>
    <row r="99" spans="2:13">
      <c r="B99" s="382" t="s">
        <v>266</v>
      </c>
      <c r="E99" s="937">
        <f>'B_02 Benefity varianty'!D457</f>
        <v>202667.45110937499</v>
      </c>
      <c r="F99" s="937">
        <f>'B_02 Benefity varianty'!E457</f>
        <v>1632610.0927500001</v>
      </c>
      <c r="G99" s="937">
        <f>'B_02 Benefity varianty'!F457</f>
        <v>3287761.1532499995</v>
      </c>
      <c r="H99" s="937">
        <f>'B_02 Benefity varianty'!G457</f>
        <v>3310302.1210000003</v>
      </c>
      <c r="I99" s="937">
        <f>'B_02 Benefity varianty'!H457</f>
        <v>3332843.0887499996</v>
      </c>
      <c r="J99" s="937">
        <f>'B_02 Benefity varianty'!I457</f>
        <v>3355384.0565000004</v>
      </c>
      <c r="K99" s="937">
        <f>'B_02 Benefity varianty'!J457</f>
        <v>3377925.0242499993</v>
      </c>
      <c r="L99" s="937">
        <f>'B_02 Benefity varianty'!K457</f>
        <v>3400465.9920000006</v>
      </c>
    </row>
    <row r="100" spans="2:13">
      <c r="B100" s="382" t="s">
        <v>1349</v>
      </c>
      <c r="E100" s="937">
        <f>SUM('B_02 Benefity varianty'!D463:D466)</f>
        <v>8940721.2973629255</v>
      </c>
      <c r="F100" s="937">
        <f>SUM('B_02 Benefity varianty'!E463:E466)</f>
        <v>72022970.371606797</v>
      </c>
      <c r="G100" s="937">
        <f>SUM('B_02 Benefity varianty'!F463:F466)</f>
        <v>145040340.72862038</v>
      </c>
      <c r="H100" s="937">
        <f>SUM('B_02 Benefity varianty'!G463:G466)</f>
        <v>146034740.71402723</v>
      </c>
      <c r="I100" s="937">
        <f>SUM('B_02 Benefity varianty'!H463:H466)</f>
        <v>147029140.69943401</v>
      </c>
      <c r="J100" s="937">
        <f>SUM('B_02 Benefity varianty'!I463:I466)</f>
        <v>148023540.68484083</v>
      </c>
      <c r="K100" s="937">
        <f>SUM('B_02 Benefity varianty'!J463:J466)</f>
        <v>149017940.67024758</v>
      </c>
      <c r="L100" s="937">
        <f>SUM('B_02 Benefity varianty'!K463:K466)</f>
        <v>150012340.65565443</v>
      </c>
    </row>
    <row r="101" spans="2:13">
      <c r="B101" s="382" t="s">
        <v>1351</v>
      </c>
      <c r="E101" s="937">
        <f>E102/'B_02 Benefity varianty'!$F$40</f>
        <v>41913.321980192544</v>
      </c>
      <c r="F101" s="937">
        <f>F102/'B_02 Benefity varianty'!$F$40</f>
        <v>169842.74613956962</v>
      </c>
      <c r="G101" s="937">
        <f>G102/'B_02 Benefity varianty'!$F$40</f>
        <v>257015.73385184899</v>
      </c>
      <c r="H101" s="937">
        <f>H102/'B_02 Benefity varianty'!$F$40</f>
        <v>339750.34162909142</v>
      </c>
      <c r="I101" s="937">
        <f>I102/'B_02 Benefity varianty'!$F$40</f>
        <v>422565.53897178749</v>
      </c>
      <c r="J101" s="937">
        <f>J102/'B_02 Benefity varianty'!$F$40</f>
        <v>505510.38767749042</v>
      </c>
      <c r="K101" s="937">
        <f>K102/'B_02 Benefity varianty'!$F$40</f>
        <v>588634.98470358155</v>
      </c>
      <c r="L101" s="937">
        <f>L102/'B_02 Benefity varianty'!$F$40</f>
        <v>671990.56953062804</v>
      </c>
    </row>
    <row r="102" spans="2:13">
      <c r="B102" s="382" t="s">
        <v>1352</v>
      </c>
      <c r="E102" s="937">
        <f>((('B_02 Benefity varianty'!D91*'B_02 Benefity varianty'!$F$45)/2)+('B_02 Benefity varianty'!D91*(1-'B_02 Benefity varianty'!$F$45)))*'B_02 Benefity varianty'!D69+((E99*'B_02 Benefity varianty'!$F$45/2)+(E99*(1-'B_02 Benefity varianty'!$F$45)))</f>
        <v>13621829.643562578</v>
      </c>
      <c r="F102" s="937">
        <f>((('B_02 Benefity varianty'!E91*'B_02 Benefity varianty'!$F$45)/2)+('B_02 Benefity varianty'!E91*(1-'B_02 Benefity varianty'!$F$45)))*'B_02 Benefity varianty'!E69+((F99*'B_02 Benefity varianty'!$F$45/2)+(F99*(1-'B_02 Benefity varianty'!$F$45)))</f>
        <v>55198892.495360129</v>
      </c>
      <c r="G102" s="937">
        <f>((('B_02 Benefity varianty'!F91*'B_02 Benefity varianty'!$F$45)/2)+('B_02 Benefity varianty'!F91*(1-'B_02 Benefity varianty'!$F$45)))*'B_02 Benefity varianty'!F69+((G99*'B_02 Benefity varianty'!$F$45/2)+(G99*(1-'B_02 Benefity varianty'!$F$45)))</f>
        <v>83530113.501850918</v>
      </c>
      <c r="H102" s="937">
        <f>((('B_02 Benefity varianty'!G91*'B_02 Benefity varianty'!$F$45)/2)+('B_02 Benefity varianty'!G91*(1-'B_02 Benefity varianty'!$F$45)))*'B_02 Benefity varianty'!G69+((H99*'B_02 Benefity varianty'!$F$45/2)+(H99*(1-'B_02 Benefity varianty'!$F$45)))</f>
        <v>110418861.02945471</v>
      </c>
      <c r="I102" s="937">
        <f>((('B_02 Benefity varianty'!H91*'B_02 Benefity varianty'!$F$45)/2)+('B_02 Benefity varianty'!H91*(1-'B_02 Benefity varianty'!$F$45)))*'B_02 Benefity varianty'!H69+((I99*'B_02 Benefity varianty'!$F$45/2)+(I99*(1-'B_02 Benefity varianty'!$F$45)))</f>
        <v>137333800.16583094</v>
      </c>
      <c r="J102" s="937">
        <f>((('B_02 Benefity varianty'!I91*'B_02 Benefity varianty'!$F$45)/2)+('B_02 Benefity varianty'!I91*(1-'B_02 Benefity varianty'!$F$45)))*'B_02 Benefity varianty'!I69+((J99*'B_02 Benefity varianty'!$F$45/2)+(J99*(1-'B_02 Benefity varianty'!$F$45)))</f>
        <v>164290875.99518439</v>
      </c>
      <c r="K102" s="937">
        <f>((('B_02 Benefity varianty'!J91*'B_02 Benefity varianty'!$F$45)/2)+('B_02 Benefity varianty'!J91*(1-'B_02 Benefity varianty'!$F$45)))*'B_02 Benefity varianty'!J69+((K99*'B_02 Benefity varianty'!$F$45/2)+(K99*(1-'B_02 Benefity varianty'!$F$45)))</f>
        <v>191306370.02866399</v>
      </c>
      <c r="L102" s="937">
        <f>((('B_02 Benefity varianty'!K91*'B_02 Benefity varianty'!$F$45)/2)+('B_02 Benefity varianty'!K91*(1-'B_02 Benefity varianty'!$F$45)))*'B_02 Benefity varianty'!K69+((L99*'B_02 Benefity varianty'!$F$45/2)+(L99*(1-'B_02 Benefity varianty'!$F$45)))</f>
        <v>218396935.0974541</v>
      </c>
    </row>
  </sheetData>
  <pageMargins left="0.70866141732283472" right="0.70866141732283472" top="0.74803149606299213" bottom="0.74803149606299213" header="0.31496062992125984" footer="0.31496062992125984"/>
  <pageSetup paperSize="9" orientation="landscape"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pageSetUpPr fitToPage="1"/>
  </sheetPr>
  <dimension ref="A3:J27"/>
  <sheetViews>
    <sheetView topLeftCell="A4" zoomScaleNormal="100" workbookViewId="0">
      <pane ySplit="1" topLeftCell="A5" activePane="bottomLeft" state="frozen"/>
      <selection activeCell="B4" sqref="B4"/>
      <selection pane="bottomLeft" activeCell="L13" sqref="L13"/>
    </sheetView>
  </sheetViews>
  <sheetFormatPr defaultRowHeight="15"/>
  <cols>
    <col min="1" max="1" width="36.7109375" bestFit="1" customWidth="1"/>
    <col min="2" max="2" width="8.42578125" bestFit="1" customWidth="1"/>
    <col min="3" max="4" width="8.5703125" style="296" bestFit="1" customWidth="1"/>
    <col min="5" max="5" width="8.7109375" style="296" bestFit="1" customWidth="1"/>
    <col min="6" max="6" width="13.85546875" style="296" bestFit="1" customWidth="1"/>
    <col min="7" max="7" width="10.7109375" bestFit="1" customWidth="1"/>
    <col min="8" max="8" width="9" bestFit="1" customWidth="1"/>
    <col min="9" max="9" width="6.5703125" customWidth="1"/>
    <col min="10" max="13" width="12.42578125" customWidth="1"/>
    <col min="14" max="16" width="11.85546875" customWidth="1"/>
  </cols>
  <sheetData>
    <row r="3" spans="1:9" ht="15.75" thickBot="1"/>
    <row r="4" spans="1:9" ht="15.75" thickBot="1">
      <c r="A4" s="901" t="s">
        <v>530</v>
      </c>
      <c r="B4" s="902" t="s">
        <v>680</v>
      </c>
      <c r="C4" s="903" t="s">
        <v>681</v>
      </c>
      <c r="D4" s="904" t="s">
        <v>682</v>
      </c>
      <c r="E4" s="905" t="s">
        <v>1159</v>
      </c>
      <c r="F4" s="903" t="s">
        <v>1272</v>
      </c>
      <c r="G4" s="906" t="s">
        <v>1329</v>
      </c>
      <c r="H4" s="906" t="s">
        <v>359</v>
      </c>
      <c r="I4" s="907" t="s">
        <v>16</v>
      </c>
    </row>
    <row r="5" spans="1:9" ht="15.75" thickBot="1">
      <c r="A5" s="1900" t="s">
        <v>1323</v>
      </c>
      <c r="B5" s="1901"/>
      <c r="C5" s="1901"/>
      <c r="D5" s="1901"/>
      <c r="E5" s="1902"/>
      <c r="F5" s="1902"/>
      <c r="G5" s="1902"/>
      <c r="H5" s="1902"/>
      <c r="I5" s="1903"/>
    </row>
    <row r="6" spans="1:9">
      <c r="A6" s="908" t="s">
        <v>416</v>
      </c>
      <c r="B6" s="892" t="s">
        <v>555</v>
      </c>
      <c r="C6" s="881" t="s">
        <v>1326</v>
      </c>
      <c r="D6" s="893" t="s">
        <v>1327</v>
      </c>
      <c r="E6" s="909"/>
      <c r="F6" s="909" t="s">
        <v>835</v>
      </c>
      <c r="G6" s="880"/>
      <c r="H6" s="880" t="s">
        <v>835</v>
      </c>
      <c r="I6" s="910" t="s">
        <v>835</v>
      </c>
    </row>
    <row r="7" spans="1:9">
      <c r="A7" s="889" t="s">
        <v>875</v>
      </c>
      <c r="B7" s="894" t="s">
        <v>555</v>
      </c>
      <c r="C7" s="746" t="s">
        <v>1326</v>
      </c>
      <c r="D7" s="895" t="s">
        <v>1327</v>
      </c>
      <c r="E7" s="891" t="s">
        <v>836</v>
      </c>
      <c r="F7" s="891" t="s">
        <v>836</v>
      </c>
      <c r="G7" s="747"/>
      <c r="H7" s="747" t="s">
        <v>836</v>
      </c>
      <c r="I7" s="884"/>
    </row>
    <row r="8" spans="1:9">
      <c r="A8" s="889" t="s">
        <v>1156</v>
      </c>
      <c r="B8" s="894" t="s">
        <v>555</v>
      </c>
      <c r="C8" s="746" t="s">
        <v>1326</v>
      </c>
      <c r="D8" s="895" t="s">
        <v>1327</v>
      </c>
      <c r="E8" s="891" t="s">
        <v>837</v>
      </c>
      <c r="F8" s="891"/>
      <c r="G8" s="747"/>
      <c r="H8" s="747"/>
      <c r="I8" s="884"/>
    </row>
    <row r="9" spans="1:9">
      <c r="A9" s="889" t="s">
        <v>417</v>
      </c>
      <c r="B9" s="894" t="s">
        <v>555</v>
      </c>
      <c r="C9" s="746" t="s">
        <v>1326</v>
      </c>
      <c r="D9" s="895" t="s">
        <v>1327</v>
      </c>
      <c r="E9" s="891"/>
      <c r="F9" s="891" t="s">
        <v>838</v>
      </c>
      <c r="G9" s="936"/>
      <c r="H9" s="747" t="s">
        <v>838</v>
      </c>
      <c r="I9" s="884" t="s">
        <v>838</v>
      </c>
    </row>
    <row r="10" spans="1:9">
      <c r="A10" s="889" t="s">
        <v>1158</v>
      </c>
      <c r="B10" s="894" t="s">
        <v>1327</v>
      </c>
      <c r="C10" s="746" t="s">
        <v>1326</v>
      </c>
      <c r="D10" s="895" t="s">
        <v>555</v>
      </c>
      <c r="E10" s="891" t="s">
        <v>839</v>
      </c>
      <c r="F10" s="891"/>
      <c r="G10" s="747"/>
      <c r="H10" s="747"/>
      <c r="I10" s="884" t="s">
        <v>839</v>
      </c>
    </row>
    <row r="11" spans="1:9">
      <c r="A11" s="889" t="s">
        <v>419</v>
      </c>
      <c r="B11" s="894" t="s">
        <v>555</v>
      </c>
      <c r="C11" s="746" t="s">
        <v>1326</v>
      </c>
      <c r="D11" s="895" t="s">
        <v>1327</v>
      </c>
      <c r="E11" s="891" t="s">
        <v>840</v>
      </c>
      <c r="F11" s="891"/>
      <c r="G11" s="747"/>
      <c r="H11" s="747"/>
      <c r="I11" s="884" t="s">
        <v>840</v>
      </c>
    </row>
    <row r="12" spans="1:9" ht="15.75" thickBot="1">
      <c r="A12" s="938" t="s">
        <v>1189</v>
      </c>
      <c r="B12" s="896" t="s">
        <v>555</v>
      </c>
      <c r="C12" s="885" t="s">
        <v>1326</v>
      </c>
      <c r="D12" s="897" t="s">
        <v>1327</v>
      </c>
      <c r="E12" s="939" t="s">
        <v>1273</v>
      </c>
      <c r="F12" s="939"/>
      <c r="G12" s="879"/>
      <c r="H12" s="879"/>
      <c r="I12" s="940" t="s">
        <v>1273</v>
      </c>
    </row>
    <row r="13" spans="1:9" ht="15.75" thickBot="1">
      <c r="A13" s="1904" t="s">
        <v>1324</v>
      </c>
      <c r="B13" s="1905"/>
      <c r="C13" s="1905"/>
      <c r="D13" s="1905"/>
      <c r="E13" s="1905"/>
      <c r="F13" s="1905"/>
      <c r="G13" s="1905"/>
      <c r="H13" s="1905"/>
      <c r="I13" s="1906"/>
    </row>
    <row r="14" spans="1:9">
      <c r="A14" s="888" t="s">
        <v>1264</v>
      </c>
      <c r="B14" s="892" t="s">
        <v>555</v>
      </c>
      <c r="C14" s="881" t="s">
        <v>1326</v>
      </c>
      <c r="D14" s="893" t="s">
        <v>1327</v>
      </c>
      <c r="E14" s="890" t="s">
        <v>922</v>
      </c>
      <c r="F14" s="881"/>
      <c r="G14" s="882"/>
      <c r="H14" s="882"/>
      <c r="I14" s="883"/>
    </row>
    <row r="15" spans="1:9">
      <c r="A15" s="889" t="s">
        <v>1265</v>
      </c>
      <c r="B15" s="894" t="s">
        <v>555</v>
      </c>
      <c r="C15" s="746" t="s">
        <v>1326</v>
      </c>
      <c r="D15" s="895" t="s">
        <v>1327</v>
      </c>
      <c r="E15" s="891" t="s">
        <v>921</v>
      </c>
      <c r="F15" s="746"/>
      <c r="G15" s="747"/>
      <c r="H15" s="747"/>
      <c r="I15" s="884"/>
    </row>
    <row r="16" spans="1:9">
      <c r="A16" s="889" t="s">
        <v>1266</v>
      </c>
      <c r="B16" s="894" t="s">
        <v>555</v>
      </c>
      <c r="C16" s="746" t="s">
        <v>1326</v>
      </c>
      <c r="D16" s="895" t="s">
        <v>1327</v>
      </c>
      <c r="E16" s="891" t="s">
        <v>924</v>
      </c>
      <c r="F16" s="746"/>
      <c r="G16" s="747"/>
      <c r="H16" s="747"/>
      <c r="I16" s="884"/>
    </row>
    <row r="17" spans="1:10">
      <c r="A17" s="889" t="s">
        <v>1279</v>
      </c>
      <c r="B17" s="894" t="s">
        <v>555</v>
      </c>
      <c r="C17" s="746" t="s">
        <v>1326</v>
      </c>
      <c r="D17" s="895" t="s">
        <v>1327</v>
      </c>
      <c r="E17" s="891" t="s">
        <v>920</v>
      </c>
      <c r="F17" s="746"/>
      <c r="G17" s="747"/>
      <c r="H17" s="747"/>
      <c r="I17" s="884"/>
    </row>
    <row r="18" spans="1:10">
      <c r="A18" s="889" t="s">
        <v>1267</v>
      </c>
      <c r="B18" s="894" t="s">
        <v>1327</v>
      </c>
      <c r="C18" s="746" t="s">
        <v>1327</v>
      </c>
      <c r="D18" s="895" t="s">
        <v>1327</v>
      </c>
      <c r="E18" s="891" t="s">
        <v>923</v>
      </c>
      <c r="F18" s="746"/>
      <c r="G18" s="747"/>
      <c r="H18" s="747"/>
      <c r="I18" s="884"/>
    </row>
    <row r="19" spans="1:10">
      <c r="A19" s="889" t="s">
        <v>1268</v>
      </c>
      <c r="B19" s="894" t="s">
        <v>1327</v>
      </c>
      <c r="C19" s="746" t="s">
        <v>1327</v>
      </c>
      <c r="D19" s="895" t="s">
        <v>1327</v>
      </c>
      <c r="E19" s="891"/>
      <c r="F19" s="746"/>
      <c r="G19" s="747"/>
      <c r="H19" s="747" t="s">
        <v>1157</v>
      </c>
      <c r="I19" s="884"/>
    </row>
    <row r="20" spans="1:10">
      <c r="A20" s="889" t="s">
        <v>1325</v>
      </c>
      <c r="B20" s="894" t="s">
        <v>1327</v>
      </c>
      <c r="C20" s="746" t="s">
        <v>1327</v>
      </c>
      <c r="D20" s="895" t="s">
        <v>1327</v>
      </c>
      <c r="E20" s="891"/>
      <c r="F20" s="746"/>
      <c r="G20" s="747"/>
      <c r="H20" s="747" t="s">
        <v>1274</v>
      </c>
      <c r="I20" s="884"/>
    </row>
    <row r="21" spans="1:10">
      <c r="A21" s="889" t="s">
        <v>1269</v>
      </c>
      <c r="B21" s="894" t="s">
        <v>1327</v>
      </c>
      <c r="C21" s="746" t="s">
        <v>1327</v>
      </c>
      <c r="D21" s="895" t="s">
        <v>1327</v>
      </c>
      <c r="E21" s="891"/>
      <c r="F21" s="746"/>
      <c r="G21" s="747"/>
      <c r="H21" s="747" t="s">
        <v>1275</v>
      </c>
      <c r="I21" s="884"/>
    </row>
    <row r="22" spans="1:10">
      <c r="A22" s="889" t="s">
        <v>1270</v>
      </c>
      <c r="B22" s="894" t="s">
        <v>1327</v>
      </c>
      <c r="C22" s="746" t="s">
        <v>1327</v>
      </c>
      <c r="D22" s="895" t="s">
        <v>1327</v>
      </c>
      <c r="E22" s="891"/>
      <c r="F22" s="746" t="s">
        <v>1276</v>
      </c>
      <c r="G22" s="747"/>
      <c r="H22" s="747"/>
      <c r="I22" s="884" t="s">
        <v>1276</v>
      </c>
    </row>
    <row r="23" spans="1:10">
      <c r="A23" s="889" t="s">
        <v>1190</v>
      </c>
      <c r="B23" s="894" t="s">
        <v>555</v>
      </c>
      <c r="C23" s="746" t="s">
        <v>1326</v>
      </c>
      <c r="D23" s="895" t="s">
        <v>1327</v>
      </c>
      <c r="E23" s="891" t="s">
        <v>1277</v>
      </c>
      <c r="F23" s="746" t="s">
        <v>1277</v>
      </c>
      <c r="G23" s="747"/>
      <c r="H23" s="747"/>
      <c r="I23" s="884" t="s">
        <v>1277</v>
      </c>
    </row>
    <row r="24" spans="1:10">
      <c r="A24" s="889" t="s">
        <v>1271</v>
      </c>
      <c r="B24" s="894" t="s">
        <v>555</v>
      </c>
      <c r="C24" s="746" t="s">
        <v>1326</v>
      </c>
      <c r="D24" s="895" t="s">
        <v>1327</v>
      </c>
      <c r="E24" s="891"/>
      <c r="F24" s="746"/>
      <c r="G24" s="747" t="s">
        <v>1278</v>
      </c>
      <c r="H24" s="747" t="s">
        <v>1278</v>
      </c>
      <c r="I24" s="884"/>
    </row>
    <row r="25" spans="1:10">
      <c r="A25" s="898" t="s">
        <v>1318</v>
      </c>
      <c r="B25" s="894" t="s">
        <v>1327</v>
      </c>
      <c r="C25" s="746" t="s">
        <v>1327</v>
      </c>
      <c r="D25" s="895" t="s">
        <v>1327</v>
      </c>
      <c r="E25" s="891" t="s">
        <v>1280</v>
      </c>
      <c r="F25" s="746"/>
      <c r="G25" s="747"/>
      <c r="H25" s="747" t="s">
        <v>1280</v>
      </c>
      <c r="I25" s="884"/>
      <c r="J25" s="878"/>
    </row>
    <row r="26" spans="1:10">
      <c r="A26" s="889" t="s">
        <v>1328</v>
      </c>
      <c r="B26" s="894" t="s">
        <v>555</v>
      </c>
      <c r="C26" s="746" t="s">
        <v>1326</v>
      </c>
      <c r="D26" s="895" t="s">
        <v>1327</v>
      </c>
      <c r="E26" s="891" t="s">
        <v>1319</v>
      </c>
      <c r="F26" s="746" t="s">
        <v>1319</v>
      </c>
      <c r="G26" s="747" t="s">
        <v>1319</v>
      </c>
      <c r="H26" s="747" t="s">
        <v>1319</v>
      </c>
      <c r="I26" s="884" t="s">
        <v>1319</v>
      </c>
    </row>
    <row r="27" spans="1:10" ht="15.75" thickBot="1">
      <c r="A27" s="899" t="s">
        <v>1322</v>
      </c>
      <c r="B27" s="896" t="s">
        <v>555</v>
      </c>
      <c r="C27" s="885" t="s">
        <v>1326</v>
      </c>
      <c r="D27" s="897" t="s">
        <v>1327</v>
      </c>
      <c r="E27" s="900" t="s">
        <v>1320</v>
      </c>
      <c r="F27" s="885" t="s">
        <v>1320</v>
      </c>
      <c r="G27" s="886" t="s">
        <v>1320</v>
      </c>
      <c r="H27" s="886" t="s">
        <v>1320</v>
      </c>
      <c r="I27" s="887" t="s">
        <v>1320</v>
      </c>
    </row>
  </sheetData>
  <mergeCells count="2">
    <mergeCell ref="A5:I5"/>
    <mergeCell ref="A13:I13"/>
  </mergeCells>
  <pageMargins left="0.31496062992125984" right="0.31496062992125984" top="0.74803149606299213" bottom="0.74803149606299213" header="0.31496062992125984" footer="0.31496062992125984"/>
  <pageSetup paperSize="8" scale="7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B3:S51"/>
  <sheetViews>
    <sheetView topLeftCell="A4" zoomScale="85" zoomScaleNormal="85" workbookViewId="0">
      <selection activeCell="R48" sqref="R48"/>
    </sheetView>
  </sheetViews>
  <sheetFormatPr defaultColWidth="8.85546875" defaultRowHeight="16.5"/>
  <cols>
    <col min="1" max="1" width="12.5703125" style="1536" customWidth="1"/>
    <col min="2" max="2" width="13.85546875" style="1536" bestFit="1" customWidth="1"/>
    <col min="3" max="3" width="20.42578125" style="1536" customWidth="1"/>
    <col min="4" max="11" width="16.7109375" style="1536" customWidth="1"/>
    <col min="12" max="12" width="14.42578125" style="1536" customWidth="1"/>
    <col min="13" max="13" width="14" style="1536" customWidth="1"/>
    <col min="14" max="14" width="11" style="1536" customWidth="1"/>
    <col min="15" max="15" width="16.42578125" style="1536" customWidth="1"/>
    <col min="16" max="18" width="19.5703125" style="1536" customWidth="1"/>
    <col min="19" max="16384" width="8.85546875" style="1536"/>
  </cols>
  <sheetData>
    <row r="3" spans="2:18">
      <c r="B3" s="1582" t="s">
        <v>1605</v>
      </c>
      <c r="C3" s="1583" t="s">
        <v>1606</v>
      </c>
      <c r="D3" s="1584" t="s">
        <v>1607</v>
      </c>
      <c r="E3" s="1584" t="s">
        <v>1608</v>
      </c>
      <c r="F3" s="1585" t="s">
        <v>478</v>
      </c>
      <c r="G3" s="1583" t="s">
        <v>1613</v>
      </c>
      <c r="H3" s="1584" t="s">
        <v>1612</v>
      </c>
      <c r="I3" s="1584" t="s">
        <v>479</v>
      </c>
      <c r="J3" s="1584" t="s">
        <v>535</v>
      </c>
      <c r="L3" s="1583" t="s">
        <v>1613</v>
      </c>
      <c r="M3" s="1583" t="s">
        <v>1613</v>
      </c>
      <c r="O3" s="1536" t="s">
        <v>1845</v>
      </c>
    </row>
    <row r="4" spans="2:18">
      <c r="B4" s="1586" t="s">
        <v>680</v>
      </c>
      <c r="C4" s="1708">
        <f>C26</f>
        <v>53793761.480392061</v>
      </c>
      <c r="D4" s="1708">
        <f>D26</f>
        <v>92099763.049491152</v>
      </c>
      <c r="E4" s="1708">
        <f>D4-C4</f>
        <v>38306001.569099091</v>
      </c>
      <c r="F4" s="1711">
        <f>'N_01 Náklady súhrn'!R5</f>
        <v>24325229.850000001</v>
      </c>
      <c r="G4" s="1710">
        <f>'N_01 Náklady súhrn'!X5</f>
        <v>24881605.5</v>
      </c>
      <c r="H4" s="1710">
        <f>'N_01 Náklady súhrn'!Z5</f>
        <v>4586926.1303920578</v>
      </c>
      <c r="I4" s="1587">
        <f>'N_01 Náklady súhrn'!AB5</f>
        <v>0</v>
      </c>
      <c r="J4" s="1587">
        <f>'N_01 Náklady súhrn'!AC5</f>
        <v>0</v>
      </c>
      <c r="L4" s="1710">
        <f>'N_01 Náklady súhrn'!V5</f>
        <v>1520044.5</v>
      </c>
      <c r="M4" s="1710">
        <f>'N_01 Náklady súhrn'!W5</f>
        <v>23361561</v>
      </c>
      <c r="O4" s="1710">
        <f>26600000-F4</f>
        <v>2274770.1499999985</v>
      </c>
    </row>
    <row r="5" spans="2:18">
      <c r="B5" s="1586" t="s">
        <v>681</v>
      </c>
      <c r="C5" s="1708">
        <f>F26</f>
        <v>62786460.629831232</v>
      </c>
      <c r="D5" s="1708">
        <f>G26</f>
        <v>148101207.03739923</v>
      </c>
      <c r="E5" s="1708">
        <f>D5-C5</f>
        <v>85314746.407568008</v>
      </c>
      <c r="F5" s="1711">
        <f>'N_01 Náklady súhrn'!R40</f>
        <v>31433261.25</v>
      </c>
      <c r="G5" s="1710">
        <f>'N_01 Náklady súhrn'!X40</f>
        <v>25212517.5</v>
      </c>
      <c r="H5" s="1710">
        <f>'N_01 Náklady súhrn'!Z40</f>
        <v>6140681.8798312396</v>
      </c>
      <c r="I5" s="1587">
        <f>'N_01 Náklady súhrn'!AB40</f>
        <v>0</v>
      </c>
      <c r="J5" s="1587">
        <f>'N_01 Náklady súhrn'!AC40</f>
        <v>0</v>
      </c>
      <c r="L5" s="1710">
        <f>'N_01 Náklady súhrn'!V40</f>
        <v>1542105.3</v>
      </c>
      <c r="M5" s="1710">
        <f>'N_01 Náklady súhrn'!W40</f>
        <v>23670412.199999999</v>
      </c>
      <c r="O5" s="1710">
        <f t="shared" ref="O5:O6" si="0">26600000-F5</f>
        <v>-4833261.25</v>
      </c>
    </row>
    <row r="6" spans="2:18" ht="17.25" thickBot="1">
      <c r="B6" s="1588" t="s">
        <v>682</v>
      </c>
      <c r="C6" s="1709">
        <f>I26</f>
        <v>111852215.66101775</v>
      </c>
      <c r="D6" s="1709">
        <f>J26</f>
        <v>192172078.8770259</v>
      </c>
      <c r="E6" s="1709">
        <f>D6-C6</f>
        <v>80319863.216008157</v>
      </c>
      <c r="F6" s="1712">
        <f>'N_01 Náklady súhrn'!R75</f>
        <v>64339453.170000002</v>
      </c>
      <c r="G6" s="1709">
        <f>'N_01 Náklady súhrn'!X75</f>
        <v>39477773.099999994</v>
      </c>
      <c r="H6" s="1709">
        <f>'N_01 Náklady súhrn'!Z75</f>
        <v>8034989.3910177639</v>
      </c>
      <c r="I6" s="1589">
        <f>'N_01 Náklady súhrn'!AB75</f>
        <v>0</v>
      </c>
      <c r="J6" s="1589">
        <f>'N_01 Náklady súhrn'!AC75</f>
        <v>0</v>
      </c>
      <c r="L6" s="1709">
        <f>'N_01 Náklady súhrn'!V75</f>
        <v>2493122.34</v>
      </c>
      <c r="M6" s="1709">
        <f>'N_01 Náklady súhrn'!W75</f>
        <v>36984650.759999998</v>
      </c>
      <c r="O6" s="1710">
        <f t="shared" si="0"/>
        <v>-37739453.170000002</v>
      </c>
    </row>
    <row r="8" spans="2:18">
      <c r="C8" s="1583" t="s">
        <v>1906</v>
      </c>
    </row>
    <row r="9" spans="2:18" ht="49.5">
      <c r="B9" s="1582" t="s">
        <v>1605</v>
      </c>
      <c r="C9" s="1583" t="s">
        <v>1910</v>
      </c>
      <c r="D9" s="1584" t="s">
        <v>1907</v>
      </c>
      <c r="E9" s="1584" t="s">
        <v>1908</v>
      </c>
      <c r="F9" s="1584" t="s">
        <v>1909</v>
      </c>
    </row>
    <row r="10" spans="2:18">
      <c r="B10" s="1586" t="s">
        <v>680</v>
      </c>
      <c r="C10" s="1708">
        <f>'N_01 Náklady súhrn'!R5</f>
        <v>24325229.850000001</v>
      </c>
      <c r="D10" s="1708">
        <f>'N_01 Náklady súhrn'!S5</f>
        <v>20600127.350000001</v>
      </c>
      <c r="E10" s="1708">
        <f>'N_01 Náklady súhrn'!T5</f>
        <v>3725102.5</v>
      </c>
      <c r="F10" s="1708">
        <f>26600000-D10</f>
        <v>5999872.6499999985</v>
      </c>
    </row>
    <row r="11" spans="2:18">
      <c r="B11" s="1586" t="s">
        <v>681</v>
      </c>
      <c r="C11" s="1708">
        <f>'N_01 Náklady súhrn'!R40</f>
        <v>31433261.25</v>
      </c>
      <c r="D11" s="1708">
        <f>'N_01 Náklady súhrn'!S40</f>
        <v>26523486.850000001</v>
      </c>
      <c r="E11" s="1708">
        <f>'N_01 Náklady súhrn'!T40</f>
        <v>4909774.4000000004</v>
      </c>
      <c r="F11" s="1708">
        <f t="shared" ref="F11:F12" si="1">26600000-D11</f>
        <v>76513.14999999851</v>
      </c>
    </row>
    <row r="12" spans="2:18" ht="17.25" thickBot="1">
      <c r="B12" s="1588" t="s">
        <v>682</v>
      </c>
      <c r="C12" s="1709">
        <f>'N_01 Náklady súhrn'!R75</f>
        <v>64339453.170000002</v>
      </c>
      <c r="D12" s="1709">
        <f>'N_01 Náklady súhrn'!S75</f>
        <v>53945313.450000003</v>
      </c>
      <c r="E12" s="1709">
        <f>'N_01 Náklady súhrn'!T75</f>
        <v>10394139.720000001</v>
      </c>
      <c r="F12" s="1709">
        <f t="shared" si="1"/>
        <v>-27345313.450000003</v>
      </c>
    </row>
    <row r="14" spans="2:18" ht="13.5" customHeight="1">
      <c r="C14" s="1804" t="s">
        <v>680</v>
      </c>
      <c r="D14" s="1804"/>
      <c r="E14" s="1804"/>
      <c r="F14" s="1805" t="s">
        <v>681</v>
      </c>
      <c r="G14" s="1804"/>
      <c r="H14" s="1806"/>
      <c r="I14" s="1804" t="s">
        <v>682</v>
      </c>
      <c r="J14" s="1804"/>
      <c r="K14" s="1804"/>
    </row>
    <row r="15" spans="2:18">
      <c r="B15" s="1582" t="s">
        <v>1609</v>
      </c>
      <c r="C15" s="1590" t="s">
        <v>1610</v>
      </c>
      <c r="D15" s="1591" t="s">
        <v>1611</v>
      </c>
      <c r="E15" s="1591" t="s">
        <v>1608</v>
      </c>
      <c r="F15" s="1590" t="s">
        <v>1610</v>
      </c>
      <c r="G15" s="1591" t="s">
        <v>1611</v>
      </c>
      <c r="H15" s="1591" t="s">
        <v>1608</v>
      </c>
      <c r="I15" s="1590" t="s">
        <v>1610</v>
      </c>
      <c r="J15" s="1591" t="s">
        <v>1611</v>
      </c>
      <c r="K15" s="1592" t="s">
        <v>1608</v>
      </c>
      <c r="P15" s="1710">
        <f>F4</f>
        <v>24325229.850000001</v>
      </c>
      <c r="Q15" s="1710">
        <f>F5</f>
        <v>31433261.25</v>
      </c>
      <c r="R15" s="1710">
        <v>26600000</v>
      </c>
    </row>
    <row r="16" spans="2:18">
      <c r="B16" s="1593">
        <v>2024</v>
      </c>
      <c r="C16" s="1594">
        <f>'N_01 Náklady súhrn'!F5</f>
        <v>989961.45</v>
      </c>
      <c r="D16" s="1594">
        <f>'B_01 Benefity súhrn'!C14</f>
        <v>0</v>
      </c>
      <c r="E16" s="1595">
        <f t="shared" ref="E16:E25" si="2">D16-C16</f>
        <v>-989961.45</v>
      </c>
      <c r="F16" s="1594">
        <f>'N_01 Náklady súhrn'!F40</f>
        <v>989961.45</v>
      </c>
      <c r="G16" s="1594">
        <f>'B_01 Benefity súhrn'!C32</f>
        <v>0</v>
      </c>
      <c r="H16" s="1595">
        <f t="shared" ref="H16:H26" si="3">G16-F16</f>
        <v>-989961.45</v>
      </c>
      <c r="I16" s="1594">
        <f>'N_01 Náklady súhrn'!F75</f>
        <v>989961.45</v>
      </c>
      <c r="J16" s="1594">
        <f>'B_01 Benefity súhrn'!C48</f>
        <v>0</v>
      </c>
      <c r="K16" s="1594">
        <f t="shared" ref="K16:K26" si="4">J16-I16</f>
        <v>-989961.45</v>
      </c>
      <c r="R16" s="1710">
        <f>F6-R15</f>
        <v>37739453.170000002</v>
      </c>
    </row>
    <row r="17" spans="2:18">
      <c r="B17" s="1593">
        <v>2025</v>
      </c>
      <c r="C17" s="1594">
        <f>'N_01 Náklady súhrn'!G5</f>
        <v>10390003.949999999</v>
      </c>
      <c r="D17" s="1594">
        <f>'B_01 Benefity súhrn'!D14</f>
        <v>0</v>
      </c>
      <c r="E17" s="1595">
        <f t="shared" si="2"/>
        <v>-10390003.949999999</v>
      </c>
      <c r="F17" s="1594">
        <f>'N_01 Náklady súhrn'!G40</f>
        <v>10390003.949999999</v>
      </c>
      <c r="G17" s="1594">
        <f>'B_01 Benefity súhrn'!D32</f>
        <v>0</v>
      </c>
      <c r="H17" s="1595">
        <f t="shared" si="3"/>
        <v>-10390003.949999999</v>
      </c>
      <c r="I17" s="1594">
        <f>'N_01 Náklady súhrn'!G75</f>
        <v>10390003.949999999</v>
      </c>
      <c r="J17" s="1594">
        <f>'B_01 Benefity súhrn'!D48</f>
        <v>0</v>
      </c>
      <c r="K17" s="1594">
        <f t="shared" si="4"/>
        <v>-10390003.949999999</v>
      </c>
      <c r="O17" s="1536" t="s">
        <v>1862</v>
      </c>
      <c r="P17" s="1710">
        <f>SUM(P15:P16)</f>
        <v>24325229.850000001</v>
      </c>
      <c r="Q17" s="1710">
        <f t="shared" ref="Q17:R17" si="5">SUM(Q15:Q16)</f>
        <v>31433261.25</v>
      </c>
      <c r="R17" s="1710">
        <f t="shared" si="5"/>
        <v>64339453.170000002</v>
      </c>
    </row>
    <row r="18" spans="2:18">
      <c r="B18" s="1593">
        <v>2026</v>
      </c>
      <c r="C18" s="1594">
        <f>'N_01 Náklady súhrn'!H5</f>
        <v>14526378.658658482</v>
      </c>
      <c r="D18" s="1594">
        <f>'B_01 Benefity súhrn'!E14</f>
        <v>1600166.6093259878</v>
      </c>
      <c r="E18" s="1595">
        <f t="shared" si="2"/>
        <v>-12926212.049332494</v>
      </c>
      <c r="F18" s="1594">
        <f>'N_01 Náklady súhrn'!H40</f>
        <v>21677047.76088044</v>
      </c>
      <c r="G18" s="1594">
        <f>'B_01 Benefity súhrn'!E32</f>
        <v>2134151.8223632299</v>
      </c>
      <c r="H18" s="1595">
        <f t="shared" si="3"/>
        <v>-19542895.938517209</v>
      </c>
      <c r="I18" s="1594">
        <f>'N_01 Náklady súhrn'!H75</f>
        <v>55576061.849689141</v>
      </c>
      <c r="J18" s="1594">
        <f>'B_01 Benefity súhrn'!E48</f>
        <v>2563237.4974866379</v>
      </c>
      <c r="K18" s="1594">
        <f t="shared" si="4"/>
        <v>-53012824.352202505</v>
      </c>
    </row>
    <row r="19" spans="2:18">
      <c r="B19" s="1593">
        <v>2027</v>
      </c>
      <c r="C19" s="1594">
        <f>'N_01 Náklady súhrn'!I5</f>
        <v>3277461.9790517641</v>
      </c>
      <c r="D19" s="1594">
        <f>'B_01 Benefity súhrn'!F14</f>
        <v>7328468.1571250912</v>
      </c>
      <c r="E19" s="1595">
        <f t="shared" si="2"/>
        <v>4051006.1780733271</v>
      </c>
      <c r="F19" s="1594">
        <f>'N_01 Náklady súhrn'!I40</f>
        <v>3407341.5148270107</v>
      </c>
      <c r="G19" s="1594">
        <f>'B_01 Benefity súhrn'!F32</f>
        <v>11370934.474529505</v>
      </c>
      <c r="H19" s="1595">
        <f t="shared" si="3"/>
        <v>7963592.9597024936</v>
      </c>
      <c r="I19" s="1594">
        <f>'N_01 Náklady súhrn'!I75</f>
        <v>5461014.3038181504</v>
      </c>
      <c r="J19" s="1594">
        <f>'B_01 Benefity súhrn'!F48</f>
        <v>14557759.859346148</v>
      </c>
      <c r="K19" s="1594">
        <f t="shared" si="4"/>
        <v>9096745.5555279963</v>
      </c>
    </row>
    <row r="20" spans="2:18">
      <c r="B20" s="1593">
        <v>2028</v>
      </c>
      <c r="C20" s="1594">
        <f>'N_01 Náklady súhrn'!J5</f>
        <v>3412490.8277582997</v>
      </c>
      <c r="D20" s="1594">
        <f>'B_01 Benefity súhrn'!G14</f>
        <v>12754666.405341428</v>
      </c>
      <c r="E20" s="1595">
        <f t="shared" si="2"/>
        <v>9342175.5775831286</v>
      </c>
      <c r="F20" s="1594">
        <f>'N_01 Náklady súhrn'!J40</f>
        <v>3589230.4231871418</v>
      </c>
      <c r="G20" s="1594">
        <f>'B_01 Benefity súhrn'!G32</f>
        <v>20788445.315756995</v>
      </c>
      <c r="H20" s="1595">
        <f t="shared" si="3"/>
        <v>17199214.892569855</v>
      </c>
      <c r="I20" s="1594">
        <f>'N_01 Náklady súhrn'!J75</f>
        <v>5669686.8231243612</v>
      </c>
      <c r="J20" s="1594">
        <f>'B_01 Benefity súhrn'!G48</f>
        <v>27077830.776430249</v>
      </c>
      <c r="K20" s="1594">
        <f t="shared" si="4"/>
        <v>21408143.953305889</v>
      </c>
      <c r="P20" s="1710"/>
      <c r="Q20" s="1710"/>
      <c r="R20" s="1710"/>
    </row>
    <row r="21" spans="2:18">
      <c r="B21" s="1593">
        <v>2029</v>
      </c>
      <c r="C21" s="1594">
        <f>'N_01 Náklady súhrn'!K5</f>
        <v>3428489.5968727083</v>
      </c>
      <c r="D21" s="1594">
        <f>'B_01 Benefity súhrn'!H14</f>
        <v>13205594.018757582</v>
      </c>
      <c r="E21" s="1595">
        <f t="shared" si="2"/>
        <v>9777104.4218848739</v>
      </c>
      <c r="F21" s="1594">
        <f>'N_01 Náklady súhrn'!K40</f>
        <v>3647513.8980876561</v>
      </c>
      <c r="G21" s="1707">
        <f>'B_01 Benefity súhrn'!H32</f>
        <v>21457498.954101652</v>
      </c>
      <c r="H21" s="1595">
        <f t="shared" si="3"/>
        <v>17809985.056013994</v>
      </c>
      <c r="I21" s="1594">
        <f>'N_01 Náklady súhrn'!K75</f>
        <v>5765848.187110614</v>
      </c>
      <c r="J21" s="1594">
        <f>'B_01 Benefity súhrn'!H48</f>
        <v>27931687.994432736</v>
      </c>
      <c r="K21" s="1594">
        <f t="shared" si="4"/>
        <v>22165839.807322122</v>
      </c>
      <c r="P21" s="1583" t="s">
        <v>680</v>
      </c>
      <c r="Q21" s="1583" t="s">
        <v>681</v>
      </c>
      <c r="R21" s="1583" t="s">
        <v>682</v>
      </c>
    </row>
    <row r="22" spans="2:18">
      <c r="B22" s="1593">
        <v>2030</v>
      </c>
      <c r="C22" s="1594">
        <f>'N_01 Náklady súhrn'!L5</f>
        <v>4241681.7059831247</v>
      </c>
      <c r="D22" s="1594">
        <f>'B_01 Benefity súhrn'!I14</f>
        <v>13651002.732707269</v>
      </c>
      <c r="E22" s="1595">
        <f t="shared" si="2"/>
        <v>9409321.0267241448</v>
      </c>
      <c r="F22" s="1594">
        <f>'N_01 Náklady súhrn'!L40</f>
        <v>4503830.7862682454</v>
      </c>
      <c r="G22" s="1594">
        <f>'B_01 Benefity súhrn'!I32</f>
        <v>22118851.326403666</v>
      </c>
      <c r="H22" s="1595">
        <f t="shared" si="3"/>
        <v>17615020.540135421</v>
      </c>
      <c r="I22" s="1594">
        <f>'N_01 Náklady súhrn'!L75</f>
        <v>6665330.1491441019</v>
      </c>
      <c r="J22" s="1594">
        <f>'B_01 Benefity súhrn'!I48</f>
        <v>28775461.866297416</v>
      </c>
      <c r="K22" s="1594">
        <f t="shared" si="4"/>
        <v>22110131.717153315</v>
      </c>
      <c r="N22" s="1536" t="s">
        <v>1911</v>
      </c>
      <c r="O22" s="1536" t="s">
        <v>1907</v>
      </c>
      <c r="P22" s="1750">
        <f>'N_01 Náklady súhrn'!S5</f>
        <v>20600127.350000001</v>
      </c>
      <c r="Q22" s="1750">
        <f>'N_01 Náklady súhrn'!S40</f>
        <v>26523486.850000001</v>
      </c>
      <c r="R22" s="1750">
        <v>26600000</v>
      </c>
    </row>
    <row r="23" spans="2:18">
      <c r="B23" s="1593">
        <v>2031</v>
      </c>
      <c r="C23" s="1594">
        <f>'N_01 Náklady súhrn'!M5</f>
        <v>4373517.3596928623</v>
      </c>
      <c r="D23" s="1707">
        <f>'B_01 Benefity súhrn'!J14</f>
        <v>14090192.11162864</v>
      </c>
      <c r="E23" s="1595">
        <f t="shared" si="2"/>
        <v>9716674.7519357782</v>
      </c>
      <c r="F23" s="1594">
        <f>'N_01 Náklady súhrn'!M40</f>
        <v>4679673.3719967483</v>
      </c>
      <c r="G23" s="1594">
        <f>'B_01 Benefity súhrn'!J32</f>
        <v>22771403.596109495</v>
      </c>
      <c r="H23" s="1595">
        <f t="shared" si="3"/>
        <v>18091730.224112745</v>
      </c>
      <c r="I23" s="1594">
        <f>'N_01 Náklady súhrn'!M75</f>
        <v>6885244.4925728738</v>
      </c>
      <c r="J23" s="1707">
        <f>'B_01 Benefity súhrn'!J48</f>
        <v>29607665.96058134</v>
      </c>
      <c r="K23" s="1594">
        <f t="shared" si="4"/>
        <v>22722421.468008466</v>
      </c>
      <c r="R23" s="1710">
        <f>'N_01 Náklady súhrn'!S75-R22</f>
        <v>27345313.450000003</v>
      </c>
    </row>
    <row r="24" spans="2:18">
      <c r="B24" s="1593">
        <v>2032</v>
      </c>
      <c r="C24" s="1594">
        <f>'N_01 Náklady súhrn'!N5</f>
        <v>4508127.5492297206</v>
      </c>
      <c r="D24" s="1594">
        <f>'B_01 Benefity súhrn'!K14</f>
        <v>14522478.251663886</v>
      </c>
      <c r="E24" s="1595">
        <f t="shared" si="2"/>
        <v>10014350.702434165</v>
      </c>
      <c r="F24" s="1594">
        <f>'N_01 Náklady súhrn'!N40</f>
        <v>4859216.3219301878</v>
      </c>
      <c r="G24" s="1594">
        <f>'B_01 Benefity súhrn'!K32</f>
        <v>23414082.044491798</v>
      </c>
      <c r="H24" s="1595">
        <f t="shared" si="3"/>
        <v>18554865.722561609</v>
      </c>
      <c r="I24" s="1594">
        <f>'N_01 Náklady súhrn'!N75</f>
        <v>7109810.0770630874</v>
      </c>
      <c r="J24" s="1594">
        <f>'B_01 Benefity súhrn'!K48</f>
        <v>30426847.196299743</v>
      </c>
      <c r="K24" s="1594">
        <f t="shared" si="4"/>
        <v>23317037.119236656</v>
      </c>
      <c r="O24" s="1536" t="s">
        <v>1908</v>
      </c>
      <c r="P24" s="1750">
        <f>'N_01 Náklady súhrn'!T5</f>
        <v>3725102.5</v>
      </c>
      <c r="Q24" s="1750">
        <f>'N_01 Náklady súhrn'!T40</f>
        <v>4909774.4000000004</v>
      </c>
      <c r="R24" s="1750">
        <f>'N_01 Náklady súhrn'!T75</f>
        <v>10394139.720000001</v>
      </c>
    </row>
    <row r="25" spans="2:18">
      <c r="B25" s="1593">
        <v>2033</v>
      </c>
      <c r="C25" s="1594">
        <f>'N_01 Náklady súhrn'!O5</f>
        <v>4645648.4031450953</v>
      </c>
      <c r="D25" s="1594">
        <f>'B_01 Benefity súhrn'!L14</f>
        <v>14947194.762941267</v>
      </c>
      <c r="E25" s="1595">
        <f t="shared" si="2"/>
        <v>10301546.359796172</v>
      </c>
      <c r="F25" s="1594">
        <f>'N_01 Náklady súhrn'!O40</f>
        <v>5042641.1526538078</v>
      </c>
      <c r="G25" s="1594">
        <f>'B_01 Benefity súhrn'!L32</f>
        <v>24045839.503642876</v>
      </c>
      <c r="H25" s="1595">
        <f t="shared" si="3"/>
        <v>19003198.350989066</v>
      </c>
      <c r="I25" s="1594">
        <f>'N_01 Náklady súhrn'!O75</f>
        <v>7339254.3784954315</v>
      </c>
      <c r="J25" s="1594">
        <f>'B_01 Benefity súhrn'!L48</f>
        <v>31231587.726151656</v>
      </c>
      <c r="K25" s="1594">
        <f t="shared" si="4"/>
        <v>23892333.347656224</v>
      </c>
      <c r="P25" s="1751">
        <f>SUM(P22:P24)</f>
        <v>24325229.850000001</v>
      </c>
      <c r="Q25" s="1751">
        <f>SUM(Q22:Q24)</f>
        <v>31433261.25</v>
      </c>
      <c r="R25" s="1751">
        <f>SUM(R22:R24)</f>
        <v>64339453.170000002</v>
      </c>
    </row>
    <row r="26" spans="2:18" ht="17.25" thickBot="1">
      <c r="B26" s="1596" t="s">
        <v>203</v>
      </c>
      <c r="C26" s="1597">
        <f>'N_01 Náklady súhrn'!P5</f>
        <v>53793761.480392061</v>
      </c>
      <c r="D26" s="1597">
        <f>'B_01 Benefity súhrn'!M14</f>
        <v>92099763.049491152</v>
      </c>
      <c r="E26" s="1598">
        <f>SUM(E16:E25)</f>
        <v>38306001.569099106</v>
      </c>
      <c r="F26" s="1597">
        <f>'N_01 Náklady súhrn'!P40</f>
        <v>62786460.629831232</v>
      </c>
      <c r="G26" s="1597">
        <f>'B_01 Benefity súhrn'!M32</f>
        <v>148101207.03739923</v>
      </c>
      <c r="H26" s="1598">
        <f t="shared" si="3"/>
        <v>85314746.407568008</v>
      </c>
      <c r="I26" s="1597">
        <f>'N_01 Náklady súhrn'!P75</f>
        <v>111852215.66101775</v>
      </c>
      <c r="J26" s="1597">
        <f>'B_01 Benefity súhrn'!M48</f>
        <v>192172078.8770259</v>
      </c>
      <c r="K26" s="1597">
        <f t="shared" si="4"/>
        <v>80319863.216008157</v>
      </c>
    </row>
    <row r="27" spans="2:18">
      <c r="C27" s="1599"/>
      <c r="F27" s="1599"/>
      <c r="I27" s="1599"/>
      <c r="N27" s="1536" t="s">
        <v>1912</v>
      </c>
      <c r="O27" s="1536" t="s">
        <v>1907</v>
      </c>
      <c r="P27" s="1750">
        <f>'N_01 Náklady súhrn'!AG5</f>
        <v>1326429</v>
      </c>
      <c r="Q27" s="1750">
        <f>'N_01 Náklady súhrn'!AG40</f>
        <v>1344813</v>
      </c>
      <c r="R27" s="1750">
        <f>'N_01 Náklady súhrn'!AG75</f>
        <v>2137327.1999999997</v>
      </c>
    </row>
    <row r="28" spans="2:18">
      <c r="D28" s="1599"/>
      <c r="E28" s="1599"/>
      <c r="F28" s="1599"/>
      <c r="G28" s="1599"/>
      <c r="H28" s="1599"/>
      <c r="I28" s="1599"/>
      <c r="J28" s="1599"/>
      <c r="K28" s="1599"/>
      <c r="O28" s="1536" t="s">
        <v>1908</v>
      </c>
      <c r="P28" s="1750">
        <f>'N_01 Náklady súhrn'!AH5</f>
        <v>193615.5</v>
      </c>
      <c r="Q28" s="1750">
        <f>'N_01 Náklady súhrn'!AH40</f>
        <v>197292.3</v>
      </c>
      <c r="R28" s="1750">
        <f>'N_01 Náklady súhrn'!AH75</f>
        <v>355795.13999999996</v>
      </c>
    </row>
    <row r="29" spans="2:18">
      <c r="B29" s="1582" t="s">
        <v>1605</v>
      </c>
      <c r="C29" s="1583" t="s">
        <v>1705</v>
      </c>
      <c r="D29" s="1583" t="s">
        <v>1706</v>
      </c>
      <c r="E29" s="1585" t="s">
        <v>1707</v>
      </c>
      <c r="F29" s="1584" t="s">
        <v>1708</v>
      </c>
      <c r="G29" s="1585" t="s">
        <v>1709</v>
      </c>
      <c r="H29" s="1583" t="s">
        <v>1710</v>
      </c>
      <c r="I29" s="1584" t="s">
        <v>1713</v>
      </c>
      <c r="J29" s="1584" t="s">
        <v>1711</v>
      </c>
      <c r="K29" s="1584" t="s">
        <v>1712</v>
      </c>
      <c r="L29" s="1599"/>
      <c r="P29" s="1751">
        <f>SUM(P27:P28)</f>
        <v>1520044.5</v>
      </c>
      <c r="Q29" s="1751">
        <f>SUM(Q27:Q28)</f>
        <v>1542105.3</v>
      </c>
      <c r="R29" s="1751">
        <f>SUM(R27:R28)</f>
        <v>2493122.34</v>
      </c>
    </row>
    <row r="30" spans="2:18">
      <c r="B30" s="1586" t="s">
        <v>680</v>
      </c>
      <c r="C30" s="1631">
        <f>'N_01 Náklady súhrn'!P6</f>
        <v>13327776</v>
      </c>
      <c r="D30" s="1631">
        <f>'N_01 Náklady súhrn'!P17</f>
        <v>40465985.480392061</v>
      </c>
      <c r="E30" s="1629">
        <f>'N_01 Náklady súhrn'!P6/'N_01 Náklady súhrn'!P5</f>
        <v>0.24775690773841874</v>
      </c>
      <c r="F30" s="1624">
        <f>'N_01 Náklady súhrn'!P17/'N_01 Náklady súhrn'!P5</f>
        <v>0.75224309226158126</v>
      </c>
      <c r="G30" s="1625">
        <f>'N_01 Náklady súhrn'!U5</f>
        <v>0.45219425413979647</v>
      </c>
      <c r="H30" s="1626">
        <f>'N_01 Náklady súhrn'!Y5</f>
        <v>0.46253700829359923</v>
      </c>
      <c r="I30" s="1626"/>
      <c r="J30" s="1626"/>
      <c r="K30" s="1626"/>
      <c r="L30" s="1599"/>
    </row>
    <row r="31" spans="2:18">
      <c r="B31" s="1586" t="s">
        <v>681</v>
      </c>
      <c r="C31" s="1631">
        <f>'N_01 Náklady súhrn'!P41</f>
        <v>20424777</v>
      </c>
      <c r="D31" s="1631">
        <f>'N_01 Náklady súhrn'!P53</f>
        <v>42361683.62983124</v>
      </c>
      <c r="E31" s="1629">
        <f>'N_01 Náklady súhrn'!P41/'N_01 Náklady súhrn'!P40</f>
        <v>0.32530543679501084</v>
      </c>
      <c r="F31" s="1624">
        <f>'N_01 Náklady súhrn'!P53/'N_01 Náklady súhrn'!P40</f>
        <v>0.67469456320498933</v>
      </c>
      <c r="G31" s="1625">
        <f>'N_01 Náklady súhrn'!U40</f>
        <v>0.50063757272957932</v>
      </c>
      <c r="H31" s="1626">
        <f>'N_01 Náklady súhrn'!Y40</f>
        <v>0.40155978290677813</v>
      </c>
      <c r="I31" s="1626"/>
      <c r="J31" s="1626"/>
      <c r="K31" s="1626"/>
      <c r="L31" s="1599"/>
    </row>
    <row r="32" spans="2:18" ht="17.25" thickBot="1">
      <c r="B32" s="1588" t="s">
        <v>682</v>
      </c>
      <c r="C32" s="1623">
        <f>'N_01 Náklady súhrn'!P76</f>
        <v>52855460.399999999</v>
      </c>
      <c r="D32" s="1623">
        <f>'N_01 Náklady súhrn'!P88</f>
        <v>58996755.261017762</v>
      </c>
      <c r="E32" s="1630">
        <f>'N_01 Náklady súhrn'!P76/'N_01 Náklady súhrn'!P75</f>
        <v>0.47254728113911609</v>
      </c>
      <c r="F32" s="1627">
        <f>'N_01 Náklady súhrn'!P88/'N_01 Náklady súhrn'!P75</f>
        <v>0.52745271886088407</v>
      </c>
      <c r="G32" s="1628">
        <f>'N_01 Náklady súhrn'!U75</f>
        <v>0.5752184057309051</v>
      </c>
      <c r="H32" s="1627">
        <f>'N_01 Náklady súhrn'!Y75</f>
        <v>0.35294583005527908</v>
      </c>
      <c r="I32" s="1627"/>
      <c r="J32" s="1627"/>
      <c r="K32" s="1627"/>
      <c r="N32" s="1797">
        <v>20272033</v>
      </c>
      <c r="O32" s="1536" t="s">
        <v>1907</v>
      </c>
      <c r="P32" s="1750">
        <f>'N_01 Náklady súhrn'!AI5</f>
        <v>20211769</v>
      </c>
      <c r="Q32" s="1750">
        <f>'N_01 Náklady súhrn'!AI40</f>
        <v>20469145</v>
      </c>
      <c r="R32" s="1750">
        <f>'N_01 Náklady súhrn'!AI75</f>
        <v>31564343.799999997</v>
      </c>
    </row>
    <row r="33" spans="2:19">
      <c r="O33" s="1536" t="s">
        <v>1908</v>
      </c>
      <c r="P33" s="1750">
        <f>'N_01 Náklady súhrn'!AJ5</f>
        <v>3149792</v>
      </c>
      <c r="Q33" s="1750">
        <f>'N_01 Náklady súhrn'!AJ40</f>
        <v>3201267.2</v>
      </c>
      <c r="R33" s="1750">
        <f>'N_01 Náklady súhrn'!AJ75</f>
        <v>5420306.96</v>
      </c>
    </row>
    <row r="34" spans="2:19">
      <c r="P34" s="1751">
        <f>SUM(P32:P33)</f>
        <v>23361561</v>
      </c>
      <c r="Q34" s="1751">
        <f>SUM(Q32:Q33)</f>
        <v>23670412.199999999</v>
      </c>
      <c r="R34" s="1751">
        <f>SUM(R32:R33)</f>
        <v>36984650.759999998</v>
      </c>
    </row>
    <row r="36" spans="2:19">
      <c r="P36" s="1750">
        <f>'N_01 Náklady súhrn'!Z5</f>
        <v>4586926.1303920578</v>
      </c>
      <c r="Q36" s="1750">
        <f>'N_01 Náklady súhrn'!Z40</f>
        <v>6140681.8798312396</v>
      </c>
      <c r="R36" s="1750">
        <f>'N_01 Náklady súhrn'!Z75</f>
        <v>8034989.3910177639</v>
      </c>
    </row>
    <row r="37" spans="2:19">
      <c r="D37" s="1536" t="s">
        <v>1848</v>
      </c>
      <c r="E37" s="1536" t="s">
        <v>1849</v>
      </c>
      <c r="F37" s="1536" t="s">
        <v>1850</v>
      </c>
    </row>
    <row r="38" spans="2:19">
      <c r="B38" s="1003" t="s">
        <v>1426</v>
      </c>
      <c r="C38" s="1735"/>
      <c r="D38" s="1710">
        <f>'N_01 Náklady súhrn'!P7</f>
        <v>9705024</v>
      </c>
      <c r="E38" s="1710">
        <f>'N_01 Náklady súhrn'!P42</f>
        <v>9705024</v>
      </c>
      <c r="F38" s="1710">
        <f>'N_01 Náklady súhrn'!P77</f>
        <v>9705024</v>
      </c>
      <c r="J38" s="1714"/>
      <c r="P38" s="1798">
        <f>P25+P29+P34+P36</f>
        <v>53793761.480392061</v>
      </c>
      <c r="Q38" s="1798">
        <f>Q25+Q29+Q34+Q36</f>
        <v>62786460.62983124</v>
      </c>
      <c r="R38" s="1798">
        <f>R25+R29+R34+R36</f>
        <v>111852215.66101778</v>
      </c>
    </row>
    <row r="39" spans="2:19">
      <c r="B39" s="1003" t="s">
        <v>1427</v>
      </c>
      <c r="C39" s="1735"/>
      <c r="D39" s="1710">
        <f>'N_01 Náklady súhrn'!P12</f>
        <v>3622752</v>
      </c>
      <c r="E39" s="1710">
        <f>'N_01 Náklady súhrn'!P48</f>
        <v>2415168</v>
      </c>
      <c r="F39" s="1710">
        <f>'N_01 Náklady súhrn'!H84</f>
        <v>4347302.4000000004</v>
      </c>
      <c r="J39" s="1714"/>
      <c r="N39" s="1536" t="s">
        <v>974</v>
      </c>
      <c r="Q39" s="1802">
        <f>Q38/P38</f>
        <v>1.1671699264368609</v>
      </c>
      <c r="R39" s="1799">
        <f>R38/Q38</f>
        <v>1.7814703128507663</v>
      </c>
      <c r="S39" s="1799">
        <f>R38/P38</f>
        <v>2.0792785739994804</v>
      </c>
    </row>
    <row r="40" spans="2:19">
      <c r="B40" s="1003" t="s">
        <v>1428</v>
      </c>
      <c r="C40" s="1735"/>
      <c r="D40" s="1710">
        <f>'N_01 Náklady súhrn'!P15</f>
        <v>0</v>
      </c>
      <c r="E40" s="1710">
        <f>'N_01 Náklady súhrn'!P51</f>
        <v>8304585</v>
      </c>
      <c r="F40" s="1710">
        <f>'N_01 Náklady súhrn'!P86</f>
        <v>38803134</v>
      </c>
      <c r="J40" s="1714"/>
      <c r="N40" s="1536" t="s">
        <v>478</v>
      </c>
      <c r="P40" s="1710">
        <f>P22</f>
        <v>20600127.350000001</v>
      </c>
      <c r="Q40" s="1710">
        <f>Q22</f>
        <v>26523486.850000001</v>
      </c>
      <c r="R40" s="1710">
        <f>R22</f>
        <v>26600000</v>
      </c>
    </row>
    <row r="41" spans="2:19">
      <c r="B41" s="1003" t="s">
        <v>1429</v>
      </c>
      <c r="C41" s="1735"/>
      <c r="D41" s="1710">
        <f>'N_01 Náklady súhrn'!P18</f>
        <v>27695830.130392056</v>
      </c>
      <c r="E41" s="1710">
        <f>'N_01 Náklady súhrn'!P54</f>
        <v>29591528.279831238</v>
      </c>
      <c r="F41" s="1710">
        <f>'N_01 Náklady súhrn'!P89</f>
        <v>46226599.911017761</v>
      </c>
      <c r="J41" s="1714"/>
      <c r="N41" s="1536" t="s">
        <v>1913</v>
      </c>
      <c r="P41" s="1710">
        <f t="shared" ref="P41:R42" si="6">P23+P27+P32</f>
        <v>21538198</v>
      </c>
      <c r="Q41" s="1710">
        <f t="shared" si="6"/>
        <v>21813958</v>
      </c>
      <c r="R41" s="1710">
        <f t="shared" si="6"/>
        <v>61046984.450000003</v>
      </c>
    </row>
    <row r="42" spans="2:19">
      <c r="B42" s="1003" t="s">
        <v>1372</v>
      </c>
      <c r="C42" s="1735"/>
      <c r="D42" s="1710">
        <f>'N_01 Náklady súhrn'!P27</f>
        <v>7283575.3499999996</v>
      </c>
      <c r="E42" s="1710">
        <f>'N_01 Náklady súhrn'!P27</f>
        <v>7283575.3499999996</v>
      </c>
      <c r="F42" s="1710">
        <f>'N_01 Náklady súhrn'!P64</f>
        <v>7283575.3499999996</v>
      </c>
      <c r="J42" s="1714"/>
      <c r="N42" s="1536" t="s">
        <v>1914</v>
      </c>
      <c r="P42" s="1710">
        <f t="shared" si="6"/>
        <v>7068510</v>
      </c>
      <c r="Q42" s="1710">
        <f t="shared" si="6"/>
        <v>8308333.9000000004</v>
      </c>
      <c r="R42" s="1710">
        <f t="shared" si="6"/>
        <v>16170241.82</v>
      </c>
    </row>
    <row r="43" spans="2:19">
      <c r="B43" s="1003" t="s">
        <v>1843</v>
      </c>
      <c r="C43" s="1735"/>
      <c r="D43" s="1710">
        <f>'N_01 Náklady súhrn'!P32</f>
        <v>2972160</v>
      </c>
      <c r="E43" s="1710">
        <f>'N_01 Náklady súhrn'!P32</f>
        <v>2972160</v>
      </c>
      <c r="F43" s="1710">
        <f>'N_01 Náklady súhrn'!P69</f>
        <v>2972160</v>
      </c>
      <c r="J43" s="1714"/>
      <c r="N43" s="1536" t="s">
        <v>207</v>
      </c>
      <c r="P43" s="1710">
        <f>P36</f>
        <v>4586926.1303920578</v>
      </c>
      <c r="Q43" s="1710">
        <f t="shared" ref="Q43:R43" si="7">Q36</f>
        <v>6140681.8798312396</v>
      </c>
      <c r="R43" s="1710">
        <f t="shared" si="7"/>
        <v>8034989.3910177639</v>
      </c>
    </row>
    <row r="44" spans="2:19">
      <c r="B44" s="1003" t="s">
        <v>1373</v>
      </c>
      <c r="C44" s="1735"/>
      <c r="D44" s="1710">
        <f>'N_01 Náklady súhrn'!P34</f>
        <v>2514420</v>
      </c>
      <c r="E44" s="1710">
        <f>'N_01 Náklady súhrn'!P34</f>
        <v>2514420</v>
      </c>
      <c r="F44" s="1710">
        <f>'N_01 Náklady súhrn'!P106</f>
        <v>2514420</v>
      </c>
      <c r="J44" s="1714"/>
      <c r="N44" s="1536" t="s">
        <v>1915</v>
      </c>
      <c r="P44" s="1798">
        <f>SUM(P40:P43)</f>
        <v>53793761.480392061</v>
      </c>
      <c r="Q44" s="1798">
        <f t="shared" ref="Q44:R44" si="8">SUM(Q40:Q43)</f>
        <v>62786460.62983124</v>
      </c>
      <c r="R44" s="1798">
        <f t="shared" si="8"/>
        <v>111852215.66101778</v>
      </c>
    </row>
    <row r="45" spans="2:19">
      <c r="D45" s="1710">
        <f>SUM(D38:D44)</f>
        <v>53793761.480392061</v>
      </c>
      <c r="E45" s="1710">
        <f t="shared" ref="E45:F45" si="9">SUM(E38:E44)</f>
        <v>62786460.62983124</v>
      </c>
      <c r="F45" s="1710">
        <f t="shared" si="9"/>
        <v>111852215.66101775</v>
      </c>
    </row>
    <row r="46" spans="2:19">
      <c r="N46" s="1536" t="s">
        <v>1916</v>
      </c>
      <c r="P46" s="1710">
        <f>P41+P42</f>
        <v>28606708</v>
      </c>
      <c r="Q46" s="1710">
        <f t="shared" ref="Q46:R46" si="10">Q41+Q42</f>
        <v>30122291.899999999</v>
      </c>
      <c r="R46" s="1710">
        <f t="shared" si="10"/>
        <v>77217226.270000011</v>
      </c>
    </row>
    <row r="48" spans="2:19">
      <c r="C48" s="1536" t="s">
        <v>1863</v>
      </c>
      <c r="D48" s="1710">
        <f>SUM(D38:D40)</f>
        <v>13327776</v>
      </c>
      <c r="E48" s="1710">
        <f t="shared" ref="E48:F48" si="11">SUM(E38:E40)</f>
        <v>20424777</v>
      </c>
      <c r="F48" s="1710">
        <f t="shared" si="11"/>
        <v>52855460.399999999</v>
      </c>
      <c r="Q48" s="1799">
        <f>Q46/P46</f>
        <v>1.0529800178335793</v>
      </c>
      <c r="R48" s="1799">
        <f>R46/Q46</f>
        <v>2.5634578712119849</v>
      </c>
    </row>
    <row r="49" spans="3:18">
      <c r="C49" s="1536" t="s">
        <v>1864</v>
      </c>
      <c r="D49" s="1710">
        <f>SUM(D41:D44)</f>
        <v>40465985.480392054</v>
      </c>
      <c r="E49" s="1710">
        <f t="shared" ref="E49:F49" si="12">SUM(E41:E44)</f>
        <v>42361683.62983124</v>
      </c>
      <c r="F49" s="1710">
        <f t="shared" si="12"/>
        <v>58996755.261017762</v>
      </c>
      <c r="R49" s="1799">
        <f>R46/P46</f>
        <v>2.6992699149444253</v>
      </c>
    </row>
    <row r="51" spans="3:18">
      <c r="D51" s="1710">
        <f>SUM(D48:D50)</f>
        <v>53793761.480392054</v>
      </c>
      <c r="E51" s="1710">
        <f t="shared" ref="E51:F51" si="13">SUM(E48:E50)</f>
        <v>62786460.62983124</v>
      </c>
      <c r="F51" s="1710">
        <f t="shared" si="13"/>
        <v>111852215.66101776</v>
      </c>
    </row>
  </sheetData>
  <mergeCells count="3">
    <mergeCell ref="C14:E14"/>
    <mergeCell ref="F14:H14"/>
    <mergeCell ref="I14:K14"/>
  </mergeCells>
  <conditionalFormatting sqref="D38:F44">
    <cfRule type="colorScale" priority="1">
      <colorScale>
        <cfvo type="min"/>
        <cfvo type="percentile" val="50"/>
        <cfvo type="max"/>
        <color rgb="FFF8696B"/>
        <color rgb="FFFCFCFF"/>
        <color rgb="FF5A8AC6"/>
      </colorScale>
    </cfRule>
  </conditionalFormatting>
  <conditionalFormatting sqref="F4:F6">
    <cfRule type="cellIs" dxfId="163" priority="4" operator="lessThanOrEqual">
      <formula>26600000</formula>
    </cfRule>
    <cfRule type="cellIs" dxfId="162" priority="5" operator="greaterThan">
      <formula>26600000</formula>
    </cfRule>
  </conditionalFormatting>
  <pageMargins left="0.70866141732283472" right="0.70866141732283472" top="0.74803149606299213" bottom="0.74803149606299213" header="0.31496062992125984" footer="0.31496062992125984"/>
  <pageSetup paperSize="9" orientation="landscape" horizontalDpi="1200" verticalDpi="1200"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59999389629810485"/>
    <pageSetUpPr fitToPage="1"/>
  </sheetPr>
  <dimension ref="A1:Q495"/>
  <sheetViews>
    <sheetView topLeftCell="A87" zoomScaleNormal="100" workbookViewId="0">
      <selection activeCell="D124" sqref="D124"/>
    </sheetView>
  </sheetViews>
  <sheetFormatPr defaultColWidth="8.85546875" defaultRowHeight="15"/>
  <cols>
    <col min="1" max="2" width="3.42578125" customWidth="1"/>
    <col min="3" max="3" width="47.140625" customWidth="1"/>
    <col min="4" max="4" width="16.140625" customWidth="1"/>
    <col min="5" max="5" width="17.7109375" customWidth="1"/>
    <col min="6" max="11" width="16.140625" customWidth="1"/>
    <col min="12" max="12" width="13.5703125" style="22" customWidth="1"/>
    <col min="13" max="13" width="11.7109375" customWidth="1"/>
  </cols>
  <sheetData>
    <row r="1" spans="1:17" ht="15.75">
      <c r="A1" s="124" t="s">
        <v>524</v>
      </c>
      <c r="B1" s="124"/>
      <c r="C1" s="22"/>
      <c r="D1" s="22"/>
      <c r="E1" s="22"/>
      <c r="F1" s="22">
        <v>5.9648519417921403E-2</v>
      </c>
      <c r="G1" s="22"/>
      <c r="H1" s="22"/>
      <c r="I1" s="22"/>
      <c r="J1" s="22"/>
      <c r="K1" s="22"/>
      <c r="M1" s="22"/>
      <c r="N1" s="22"/>
      <c r="O1" s="22"/>
    </row>
    <row r="2" spans="1:17">
      <c r="A2" s="22"/>
      <c r="B2" s="22"/>
      <c r="C2" s="22"/>
      <c r="D2" s="22"/>
      <c r="E2" s="22"/>
      <c r="F2" s="22"/>
      <c r="G2" s="22"/>
      <c r="H2" s="22"/>
      <c r="I2" s="22"/>
      <c r="J2" s="22"/>
      <c r="K2" s="22"/>
      <c r="M2" s="22"/>
      <c r="N2" s="22"/>
      <c r="O2" s="22"/>
    </row>
    <row r="3" spans="1:17">
      <c r="A3" s="125" t="s">
        <v>386</v>
      </c>
      <c r="B3" s="125"/>
      <c r="D3" s="22"/>
      <c r="E3" s="22"/>
      <c r="F3" s="22"/>
      <c r="G3" s="125"/>
      <c r="H3" s="22"/>
      <c r="I3" s="22"/>
      <c r="J3" s="22"/>
      <c r="K3" s="22"/>
      <c r="M3" s="22"/>
      <c r="N3" s="22"/>
      <c r="O3" s="22"/>
      <c r="P3" s="22"/>
    </row>
    <row r="4" spans="1:17">
      <c r="C4" s="185" t="s">
        <v>525</v>
      </c>
      <c r="D4" s="185" t="s">
        <v>690</v>
      </c>
      <c r="E4" s="185" t="s">
        <v>688</v>
      </c>
      <c r="F4" s="185" t="s">
        <v>526</v>
      </c>
      <c r="G4" s="186" t="s">
        <v>974</v>
      </c>
      <c r="H4" s="22" t="s">
        <v>685</v>
      </c>
      <c r="I4" s="22"/>
      <c r="J4" s="199" t="s">
        <v>687</v>
      </c>
      <c r="K4" s="22"/>
      <c r="M4" s="22"/>
      <c r="N4" s="22"/>
      <c r="O4" s="22"/>
      <c r="P4" s="22"/>
      <c r="Q4" s="22"/>
    </row>
    <row r="5" spans="1:17">
      <c r="C5" s="25" t="s">
        <v>691</v>
      </c>
      <c r="D5" s="25" t="s">
        <v>696</v>
      </c>
      <c r="E5" s="25" t="s">
        <v>74</v>
      </c>
      <c r="F5" s="243">
        <v>1.65758920188444E-2</v>
      </c>
      <c r="G5" s="186"/>
      <c r="H5" s="22" t="s">
        <v>685</v>
      </c>
      <c r="I5" s="22"/>
      <c r="J5" s="199" t="s">
        <v>686</v>
      </c>
      <c r="K5" s="22"/>
      <c r="M5" s="22"/>
      <c r="N5" s="22"/>
      <c r="O5" s="22"/>
      <c r="P5" s="22"/>
      <c r="Q5" s="22"/>
    </row>
    <row r="6" spans="1:17">
      <c r="C6" s="25"/>
      <c r="D6" s="25" t="s">
        <v>969</v>
      </c>
      <c r="E6" s="25" t="s">
        <v>74</v>
      </c>
      <c r="F6" s="243">
        <v>5.9648519417921403E-2</v>
      </c>
      <c r="G6" s="186"/>
      <c r="H6" s="22" t="s">
        <v>685</v>
      </c>
      <c r="I6" s="22"/>
      <c r="J6" s="199" t="s">
        <v>684</v>
      </c>
      <c r="K6" s="22"/>
      <c r="M6" s="22"/>
      <c r="N6" s="22"/>
      <c r="O6" s="22"/>
      <c r="P6" s="22"/>
      <c r="Q6" s="22"/>
    </row>
    <row r="7" spans="1:17">
      <c r="C7" s="25" t="s">
        <v>527</v>
      </c>
      <c r="D7" s="25" t="s">
        <v>689</v>
      </c>
      <c r="E7" s="25" t="s">
        <v>74</v>
      </c>
      <c r="F7" s="243">
        <v>1.0543638404464499E-2</v>
      </c>
      <c r="G7" s="186"/>
      <c r="H7" s="22" t="s">
        <v>685</v>
      </c>
      <c r="I7" s="22"/>
      <c r="J7" s="199" t="s">
        <v>125</v>
      </c>
      <c r="K7" s="22"/>
      <c r="M7" s="22"/>
      <c r="N7" s="22"/>
      <c r="O7" s="22"/>
      <c r="P7" s="22"/>
      <c r="Q7" s="22"/>
    </row>
    <row r="8" spans="1:17">
      <c r="C8" s="25"/>
      <c r="D8" s="25" t="s">
        <v>969</v>
      </c>
      <c r="E8" s="25" t="s">
        <v>74</v>
      </c>
      <c r="F8" s="243">
        <v>8.5741033290068006E-3</v>
      </c>
      <c r="G8" s="186"/>
      <c r="H8" s="22" t="s">
        <v>685</v>
      </c>
      <c r="I8" s="22"/>
      <c r="J8" s="199"/>
      <c r="K8" s="22"/>
      <c r="M8" s="22"/>
      <c r="N8" s="22"/>
      <c r="O8" s="22"/>
      <c r="P8" s="22"/>
      <c r="Q8" s="22"/>
    </row>
    <row r="9" spans="1:17">
      <c r="C9" s="25"/>
      <c r="D9" s="25" t="s">
        <v>972</v>
      </c>
      <c r="E9" s="25" t="s">
        <v>74</v>
      </c>
      <c r="F9" s="243">
        <v>0</v>
      </c>
      <c r="G9" s="186"/>
      <c r="H9" s="22" t="s">
        <v>685</v>
      </c>
      <c r="I9" s="22"/>
      <c r="J9" s="199"/>
      <c r="K9" s="22"/>
      <c r="M9" s="22"/>
      <c r="N9" s="22"/>
      <c r="O9" s="22"/>
      <c r="P9" s="22"/>
      <c r="Q9" s="22"/>
    </row>
    <row r="10" spans="1:17">
      <c r="C10" s="25" t="s">
        <v>528</v>
      </c>
      <c r="D10" s="25" t="s">
        <v>689</v>
      </c>
      <c r="E10" s="242" t="s">
        <v>74</v>
      </c>
      <c r="F10" s="243">
        <v>3.3269597324296898E-3</v>
      </c>
      <c r="G10" s="186"/>
      <c r="H10" s="22" t="s">
        <v>685</v>
      </c>
      <c r="I10" s="22"/>
      <c r="J10" s="199"/>
      <c r="K10" s="22"/>
      <c r="M10" s="22"/>
      <c r="N10" s="22"/>
      <c r="O10" s="22"/>
      <c r="P10" s="22"/>
      <c r="Q10" s="22"/>
    </row>
    <row r="11" spans="1:17">
      <c r="C11" s="25"/>
      <c r="D11" s="25" t="s">
        <v>970</v>
      </c>
      <c r="E11" s="242" t="s">
        <v>74</v>
      </c>
      <c r="F11" s="243">
        <v>5.4000000000000003E-3</v>
      </c>
      <c r="G11" s="186"/>
      <c r="H11" s="22" t="s">
        <v>685</v>
      </c>
      <c r="I11" s="22"/>
      <c r="J11" s="199"/>
      <c r="K11" s="22"/>
      <c r="M11" s="22"/>
      <c r="N11" s="22"/>
      <c r="O11" s="22"/>
      <c r="P11" s="22"/>
      <c r="Q11" s="22"/>
    </row>
    <row r="12" spans="1:17">
      <c r="C12" s="25"/>
      <c r="D12" s="25" t="s">
        <v>697</v>
      </c>
      <c r="E12" s="2" t="s">
        <v>74</v>
      </c>
      <c r="F12" s="243">
        <v>3.2000000000000002E-3</v>
      </c>
      <c r="G12" s="186"/>
      <c r="H12" s="22" t="s">
        <v>685</v>
      </c>
      <c r="I12" s="22"/>
      <c r="J12" s="199"/>
      <c r="K12" s="22"/>
      <c r="M12" s="22"/>
      <c r="N12" s="22"/>
      <c r="O12" s="22"/>
      <c r="P12" s="22"/>
      <c r="Q12" s="22"/>
    </row>
    <row r="13" spans="1:17">
      <c r="C13" s="25"/>
      <c r="D13" s="25" t="s">
        <v>971</v>
      </c>
      <c r="E13" s="2" t="s">
        <v>74</v>
      </c>
      <c r="F13" s="243">
        <v>5.2263443669465998E-3</v>
      </c>
      <c r="G13" s="186"/>
      <c r="H13" s="22" t="s">
        <v>685</v>
      </c>
      <c r="I13" s="22"/>
      <c r="J13" s="199"/>
      <c r="K13" s="22"/>
      <c r="M13" s="22"/>
      <c r="N13" s="22"/>
      <c r="O13" s="22"/>
      <c r="P13" s="22"/>
      <c r="Q13" s="22"/>
    </row>
    <row r="14" spans="1:17">
      <c r="C14" s="25" t="s">
        <v>695</v>
      </c>
      <c r="D14" s="25" t="s">
        <v>689</v>
      </c>
      <c r="E14" s="242" t="s">
        <v>74</v>
      </c>
      <c r="F14" s="243">
        <v>1.5651653561083698E-2</v>
      </c>
      <c r="G14" s="186"/>
      <c r="H14" s="22" t="s">
        <v>685</v>
      </c>
      <c r="I14" s="22"/>
      <c r="J14" s="199"/>
      <c r="K14" s="22"/>
      <c r="M14" s="22"/>
      <c r="N14" s="22"/>
      <c r="O14" s="22"/>
      <c r="P14" s="22"/>
      <c r="Q14" s="22"/>
    </row>
    <row r="15" spans="1:17">
      <c r="C15" s="25"/>
      <c r="D15" s="25" t="s">
        <v>969</v>
      </c>
      <c r="E15" s="242" t="s">
        <v>74</v>
      </c>
      <c r="F15" s="243">
        <v>3.8658606984762499E-2</v>
      </c>
      <c r="G15" s="186"/>
      <c r="H15" s="22" t="s">
        <v>685</v>
      </c>
      <c r="I15" s="22"/>
      <c r="J15" s="199"/>
      <c r="K15" s="22"/>
      <c r="M15" s="22"/>
      <c r="N15" s="22"/>
      <c r="O15" s="22"/>
      <c r="P15" s="22"/>
      <c r="Q15" s="22"/>
    </row>
    <row r="16" spans="1:17">
      <c r="C16" s="25"/>
      <c r="D16" s="25" t="s">
        <v>740</v>
      </c>
      <c r="E16" s="242" t="s">
        <v>74</v>
      </c>
      <c r="F16" s="243">
        <v>1.4835789473829E-4</v>
      </c>
      <c r="G16" s="186"/>
      <c r="H16" s="22" t="s">
        <v>685</v>
      </c>
      <c r="I16" s="22"/>
      <c r="J16" s="199"/>
      <c r="K16" s="22"/>
      <c r="M16" s="22"/>
      <c r="N16" s="22"/>
      <c r="O16" s="22"/>
      <c r="P16" s="22"/>
      <c r="Q16" s="22"/>
    </row>
    <row r="17" spans="3:17">
      <c r="C17" s="25"/>
      <c r="D17" s="25" t="s">
        <v>972</v>
      </c>
      <c r="E17" s="242" t="s">
        <v>74</v>
      </c>
      <c r="F17" s="243">
        <v>1.08776978418136E-4</v>
      </c>
      <c r="G17" s="186"/>
      <c r="H17" s="22" t="s">
        <v>685</v>
      </c>
      <c r="I17" s="22"/>
      <c r="J17" s="199"/>
      <c r="K17" s="22"/>
      <c r="M17" s="22"/>
      <c r="N17" s="22"/>
      <c r="O17" s="22"/>
      <c r="P17" s="22"/>
      <c r="Q17" s="22"/>
    </row>
    <row r="18" spans="3:17">
      <c r="C18" s="25" t="s">
        <v>692</v>
      </c>
      <c r="D18" s="25" t="s">
        <v>693</v>
      </c>
      <c r="E18" s="2" t="s">
        <v>741</v>
      </c>
      <c r="F18" s="243">
        <v>15.017120900322</v>
      </c>
      <c r="G18" s="186">
        <f>F18/3600</f>
        <v>4.1714224723116665E-3</v>
      </c>
      <c r="H18" s="22" t="s">
        <v>685</v>
      </c>
      <c r="I18" s="22"/>
      <c r="J18" s="199"/>
      <c r="K18" s="22"/>
      <c r="M18" s="22"/>
      <c r="N18" s="22"/>
      <c r="O18" s="22"/>
      <c r="P18" s="22"/>
      <c r="Q18" s="22"/>
    </row>
    <row r="19" spans="3:17">
      <c r="C19" s="25"/>
      <c r="D19" s="25" t="s">
        <v>694</v>
      </c>
      <c r="E19" s="2" t="s">
        <v>741</v>
      </c>
      <c r="F19" s="243">
        <v>5.2671925241157602</v>
      </c>
      <c r="G19" s="186">
        <f t="shared" ref="G19:G22" si="0">F19/3600</f>
        <v>1.4631090344766002E-3</v>
      </c>
      <c r="H19" s="22" t="s">
        <v>685</v>
      </c>
      <c r="I19" s="22"/>
      <c r="J19" s="199"/>
      <c r="K19" s="22"/>
      <c r="M19" s="22"/>
      <c r="N19" s="22"/>
      <c r="O19" s="22"/>
      <c r="P19" s="22"/>
      <c r="Q19" s="22"/>
    </row>
    <row r="20" spans="3:17">
      <c r="C20" s="25"/>
      <c r="D20" s="25" t="s">
        <v>1016</v>
      </c>
      <c r="E20" s="2" t="s">
        <v>741</v>
      </c>
      <c r="F20" s="243">
        <v>15.71</v>
      </c>
      <c r="G20" s="186">
        <f t="shared" si="0"/>
        <v>4.3638888888888894E-3</v>
      </c>
      <c r="H20" s="22" t="s">
        <v>1019</v>
      </c>
      <c r="I20" s="22"/>
      <c r="J20" s="199"/>
      <c r="K20" s="22"/>
      <c r="M20" s="22"/>
      <c r="N20" s="22"/>
      <c r="O20" s="22"/>
      <c r="P20" s="22"/>
      <c r="Q20" s="22"/>
    </row>
    <row r="21" spans="3:17">
      <c r="C21" s="25"/>
      <c r="D21" s="25" t="s">
        <v>1017</v>
      </c>
      <c r="E21" s="2" t="s">
        <v>741</v>
      </c>
      <c r="F21" s="243">
        <v>7.45</v>
      </c>
      <c r="G21" s="186">
        <f t="shared" si="0"/>
        <v>2.0694444444444445E-3</v>
      </c>
      <c r="H21" s="22" t="s">
        <v>1020</v>
      </c>
      <c r="I21" s="22"/>
      <c r="J21" s="199"/>
      <c r="K21" s="22"/>
      <c r="M21" s="22"/>
      <c r="N21" s="22"/>
      <c r="O21" s="22"/>
      <c r="P21" s="22"/>
      <c r="Q21" s="22"/>
    </row>
    <row r="22" spans="3:17">
      <c r="C22" s="25"/>
      <c r="D22" s="25" t="s">
        <v>1018</v>
      </c>
      <c r="E22" s="2" t="s">
        <v>741</v>
      </c>
      <c r="F22" s="243">
        <v>4.8600000000000003</v>
      </c>
      <c r="G22" s="186">
        <f t="shared" si="0"/>
        <v>1.3500000000000001E-3</v>
      </c>
      <c r="H22" s="22" t="s">
        <v>1021</v>
      </c>
      <c r="I22" s="22"/>
      <c r="J22" s="199"/>
      <c r="K22" s="22"/>
      <c r="M22" s="22"/>
      <c r="N22" s="22"/>
      <c r="O22" s="22"/>
      <c r="P22" s="22"/>
      <c r="Q22" s="22"/>
    </row>
    <row r="23" spans="3:17">
      <c r="C23" s="25"/>
      <c r="D23" s="25" t="s">
        <v>969</v>
      </c>
      <c r="E23" s="25" t="s">
        <v>123</v>
      </c>
      <c r="F23" s="243">
        <v>9.5292006213171396E-2</v>
      </c>
      <c r="G23" s="186"/>
      <c r="H23" s="22" t="s">
        <v>685</v>
      </c>
      <c r="I23" s="22"/>
      <c r="J23" s="199"/>
      <c r="K23" s="22"/>
      <c r="M23" s="22"/>
      <c r="N23" s="22"/>
      <c r="O23" s="22"/>
      <c r="P23" s="22"/>
      <c r="Q23" s="22"/>
    </row>
    <row r="24" spans="3:17">
      <c r="C24" s="280" t="s">
        <v>743</v>
      </c>
      <c r="D24" s="25" t="s">
        <v>969</v>
      </c>
      <c r="E24" s="278" t="s">
        <v>122</v>
      </c>
      <c r="F24" s="279">
        <f>F23/F6</f>
        <v>1.5975586174321856</v>
      </c>
      <c r="G24" s="186"/>
      <c r="H24" s="22" t="s">
        <v>685</v>
      </c>
      <c r="I24" s="22"/>
      <c r="J24" s="199"/>
      <c r="K24" s="22"/>
      <c r="M24" s="22"/>
      <c r="N24" s="22"/>
      <c r="O24" s="22"/>
      <c r="P24" s="22"/>
      <c r="Q24" s="22"/>
    </row>
    <row r="25" spans="3:17">
      <c r="C25" s="25" t="s">
        <v>742</v>
      </c>
      <c r="D25" s="25" t="s">
        <v>973</v>
      </c>
      <c r="E25" s="25" t="s">
        <v>123</v>
      </c>
      <c r="F25" s="243">
        <v>6.9052728255161698E-3</v>
      </c>
      <c r="G25" s="186"/>
      <c r="H25" s="22" t="s">
        <v>685</v>
      </c>
      <c r="I25" s="22"/>
      <c r="J25" s="199"/>
      <c r="K25" s="22"/>
      <c r="M25" s="22"/>
      <c r="N25" s="22"/>
      <c r="O25" s="22"/>
      <c r="P25" s="22"/>
      <c r="Q25" s="22"/>
    </row>
    <row r="26" spans="3:17">
      <c r="C26" s="25" t="s">
        <v>527</v>
      </c>
      <c r="D26" s="25" t="s">
        <v>973</v>
      </c>
      <c r="E26" s="242" t="s">
        <v>74</v>
      </c>
      <c r="F26" s="243">
        <v>4.3223908970647096E-3</v>
      </c>
      <c r="G26" s="186"/>
      <c r="H26" s="22" t="s">
        <v>685</v>
      </c>
      <c r="I26" s="22"/>
      <c r="J26" s="199"/>
      <c r="K26" s="22"/>
      <c r="M26" s="22"/>
      <c r="N26" s="22"/>
      <c r="O26" s="22"/>
      <c r="P26" s="22"/>
      <c r="Q26" s="22"/>
    </row>
    <row r="27" spans="3:17">
      <c r="C27" s="280" t="s">
        <v>975</v>
      </c>
      <c r="D27" s="25" t="s">
        <v>969</v>
      </c>
      <c r="E27" s="278" t="s">
        <v>122</v>
      </c>
      <c r="F27" s="279">
        <f>F25/F26</f>
        <v>1.5975586174321874</v>
      </c>
      <c r="G27" s="186" t="s">
        <v>1009</v>
      </c>
      <c r="H27" s="22" t="s">
        <v>685</v>
      </c>
      <c r="I27" s="22"/>
      <c r="J27" s="199"/>
      <c r="K27" s="22"/>
      <c r="M27" s="22"/>
      <c r="N27" s="22"/>
      <c r="O27" s="22"/>
      <c r="P27" s="22"/>
      <c r="Q27" s="22"/>
    </row>
    <row r="28" spans="3:17">
      <c r="C28" s="280" t="s">
        <v>1010</v>
      </c>
      <c r="D28" s="25"/>
      <c r="E28" s="520" t="s">
        <v>122</v>
      </c>
      <c r="F28" s="279">
        <v>1.4</v>
      </c>
      <c r="G28" s="186"/>
      <c r="H28" s="22" t="s">
        <v>1011</v>
      </c>
      <c r="I28" s="22"/>
      <c r="J28" s="199"/>
      <c r="K28" s="22"/>
      <c r="M28" s="22"/>
      <c r="N28" s="22"/>
      <c r="O28" s="22"/>
      <c r="P28" s="22"/>
      <c r="Q28" s="22"/>
    </row>
    <row r="29" spans="3:17">
      <c r="C29" s="280" t="s">
        <v>898</v>
      </c>
      <c r="D29" s="25"/>
      <c r="E29" s="520" t="s">
        <v>976</v>
      </c>
      <c r="F29" s="279">
        <v>3</v>
      </c>
      <c r="G29" s="186"/>
      <c r="H29" s="22"/>
      <c r="I29" s="22"/>
      <c r="J29" s="199"/>
      <c r="K29" s="22"/>
      <c r="M29" s="22"/>
      <c r="N29" s="22"/>
      <c r="O29" s="22"/>
      <c r="P29" s="22"/>
      <c r="Q29" s="22"/>
    </row>
    <row r="30" spans="3:17">
      <c r="C30" s="280" t="s">
        <v>899</v>
      </c>
      <c r="D30" s="25"/>
      <c r="E30" s="520" t="s">
        <v>977</v>
      </c>
      <c r="F30" s="279">
        <v>6.85</v>
      </c>
      <c r="G30" s="186"/>
      <c r="H30" s="22"/>
      <c r="I30" s="22"/>
      <c r="J30" s="199"/>
      <c r="K30" s="22"/>
      <c r="M30" s="22"/>
      <c r="N30" s="22"/>
      <c r="O30" s="22"/>
      <c r="P30" s="22"/>
      <c r="Q30" s="22"/>
    </row>
    <row r="31" spans="3:17">
      <c r="C31" s="280" t="s">
        <v>915</v>
      </c>
      <c r="D31" s="25"/>
      <c r="E31" s="278"/>
      <c r="F31" s="521">
        <v>250</v>
      </c>
      <c r="G31" s="186"/>
      <c r="H31" s="22"/>
      <c r="I31" s="22"/>
      <c r="J31" s="199"/>
      <c r="K31" s="22"/>
      <c r="M31" s="22"/>
      <c r="N31" s="22"/>
      <c r="O31" s="22"/>
      <c r="P31" s="22"/>
      <c r="Q31" s="22"/>
    </row>
    <row r="32" spans="3:17">
      <c r="C32" s="280" t="s">
        <v>1098</v>
      </c>
      <c r="D32" s="25"/>
      <c r="E32" s="520" t="s">
        <v>1100</v>
      </c>
      <c r="F32" s="521">
        <v>150</v>
      </c>
      <c r="G32" s="186"/>
      <c r="H32" s="22"/>
      <c r="I32" s="22"/>
      <c r="J32" s="199"/>
      <c r="K32" s="22"/>
      <c r="M32" s="22"/>
      <c r="N32" s="22"/>
      <c r="O32" s="22"/>
      <c r="P32" s="22"/>
      <c r="Q32" s="22"/>
    </row>
    <row r="33" spans="3:17">
      <c r="C33" s="280" t="s">
        <v>1101</v>
      </c>
      <c r="D33" s="25"/>
      <c r="E33" s="520" t="s">
        <v>1100</v>
      </c>
      <c r="F33" s="521">
        <v>50</v>
      </c>
      <c r="G33" s="186"/>
      <c r="H33" s="22"/>
      <c r="I33" s="22"/>
      <c r="J33" s="199"/>
      <c r="K33" s="22"/>
      <c r="M33" s="22"/>
      <c r="N33" s="22"/>
      <c r="O33" s="22"/>
      <c r="P33" s="22"/>
      <c r="Q33" s="22"/>
    </row>
    <row r="34" spans="3:17" ht="22.5">
      <c r="C34" s="518" t="s">
        <v>1022</v>
      </c>
      <c r="D34" s="519" t="s">
        <v>1023</v>
      </c>
      <c r="E34" s="519" t="s">
        <v>1024</v>
      </c>
      <c r="F34" s="519" t="s">
        <v>1025</v>
      </c>
      <c r="G34" s="519" t="s">
        <v>741</v>
      </c>
      <c r="H34" s="519" t="s">
        <v>1029</v>
      </c>
      <c r="I34" s="22" t="s">
        <v>1011</v>
      </c>
      <c r="J34" s="199"/>
      <c r="K34" s="22"/>
      <c r="M34" s="22"/>
      <c r="N34" s="22"/>
      <c r="O34" s="22"/>
      <c r="P34" s="22"/>
      <c r="Q34" s="22"/>
    </row>
    <row r="35" spans="3:17">
      <c r="C35" s="25" t="s">
        <v>1026</v>
      </c>
      <c r="D35" s="522">
        <v>7.2999999999999995E-2</v>
      </c>
      <c r="E35" s="522">
        <v>0.24399999999999999</v>
      </c>
      <c r="F35" s="522">
        <v>0.68300000000000005</v>
      </c>
      <c r="G35" s="523">
        <f>D35*$F$20+E35*$F$21+F35*$F$22</f>
        <v>6.2840100000000003</v>
      </c>
      <c r="H35" s="523">
        <f>G35/3600</f>
        <v>1.7455583333333335E-3</v>
      </c>
      <c r="I35" s="22"/>
      <c r="J35" s="199"/>
      <c r="K35" s="22"/>
      <c r="M35" s="22"/>
      <c r="N35" s="22"/>
      <c r="O35" s="22"/>
      <c r="P35" s="22"/>
      <c r="Q35" s="22"/>
    </row>
    <row r="36" spans="3:17">
      <c r="C36" s="25" t="s">
        <v>1027</v>
      </c>
      <c r="D36" s="522">
        <v>3.6999999999999998E-2</v>
      </c>
      <c r="E36" s="522">
        <v>0.33800000000000002</v>
      </c>
      <c r="F36" s="522">
        <v>0.625</v>
      </c>
      <c r="G36" s="523">
        <f t="shared" ref="G36:G37" si="1">D36*$F$20+E36*$F$21+F36*$F$22</f>
        <v>6.13687</v>
      </c>
      <c r="H36" s="523">
        <f t="shared" ref="H36:H38" si="2">G36/3600</f>
        <v>1.7046861111111112E-3</v>
      </c>
      <c r="I36" s="22"/>
      <c r="J36" s="199"/>
      <c r="K36" s="22"/>
      <c r="M36" s="22"/>
      <c r="N36" s="22"/>
      <c r="O36" s="22"/>
      <c r="P36" s="22"/>
      <c r="Q36" s="22"/>
    </row>
    <row r="37" spans="3:17">
      <c r="C37" s="25" t="s">
        <v>1028</v>
      </c>
      <c r="D37" s="522">
        <v>3.7999999999999999E-2</v>
      </c>
      <c r="E37" s="522">
        <v>0.39200000000000002</v>
      </c>
      <c r="F37" s="522">
        <v>0.56999999999999995</v>
      </c>
      <c r="G37" s="523">
        <f t="shared" si="1"/>
        <v>6.2875800000000002</v>
      </c>
      <c r="H37" s="523">
        <f t="shared" si="2"/>
        <v>1.7465500000000001E-3</v>
      </c>
      <c r="I37" s="22"/>
      <c r="J37" s="199"/>
      <c r="K37" s="22"/>
      <c r="M37" s="22"/>
      <c r="N37" s="22"/>
      <c r="O37" s="22"/>
      <c r="P37" s="22"/>
      <c r="Q37" s="22"/>
    </row>
    <row r="38" spans="3:17">
      <c r="C38" s="25" t="s">
        <v>272</v>
      </c>
      <c r="D38" s="522">
        <v>4.2999999999999997E-2</v>
      </c>
      <c r="E38" s="522">
        <v>0.25600000000000001</v>
      </c>
      <c r="F38" s="522">
        <v>0.70099999999999996</v>
      </c>
      <c r="G38" s="523">
        <f>D38*$F$20+E38*$F$21+F38*$F$22</f>
        <v>5.9895899999999997</v>
      </c>
      <c r="H38" s="523">
        <f t="shared" si="2"/>
        <v>1.6637749999999999E-3</v>
      </c>
      <c r="I38" s="22"/>
      <c r="J38" s="199"/>
      <c r="K38" s="22"/>
      <c r="M38" s="22"/>
      <c r="N38" s="22"/>
      <c r="O38" s="22"/>
      <c r="P38" s="22"/>
      <c r="Q38" s="22"/>
    </row>
    <row r="39" spans="3:17">
      <c r="C39" s="25" t="s">
        <v>1096</v>
      </c>
      <c r="D39" s="522"/>
      <c r="E39" s="243" t="s">
        <v>122</v>
      </c>
      <c r="F39" s="590">
        <v>98022</v>
      </c>
      <c r="G39" s="587"/>
      <c r="H39" s="587" t="s">
        <v>1103</v>
      </c>
      <c r="I39" s="22"/>
      <c r="J39" s="199"/>
      <c r="K39" s="22"/>
      <c r="M39" s="22"/>
      <c r="N39" s="22"/>
      <c r="O39" s="22"/>
      <c r="P39" s="22"/>
      <c r="Q39" s="22"/>
    </row>
    <row r="40" spans="3:17">
      <c r="C40" s="25" t="s">
        <v>1145</v>
      </c>
      <c r="D40" s="522"/>
      <c r="E40" s="522" t="s">
        <v>1099</v>
      </c>
      <c r="F40" s="588">
        <f>DM_xx_SR_IAD_ukazovatele!P38</f>
        <v>325</v>
      </c>
      <c r="G40" s="587"/>
      <c r="H40" s="587" t="s">
        <v>1103</v>
      </c>
      <c r="I40" s="22"/>
      <c r="J40" s="199"/>
      <c r="K40" s="22"/>
      <c r="M40" s="22"/>
      <c r="N40" s="22"/>
      <c r="O40" s="22"/>
      <c r="P40" s="22"/>
      <c r="Q40" s="22"/>
    </row>
    <row r="41" spans="3:17">
      <c r="C41" s="25" t="s">
        <v>1129</v>
      </c>
      <c r="D41" s="522"/>
      <c r="E41" s="522" t="s">
        <v>119</v>
      </c>
      <c r="F41" s="522">
        <v>0.2</v>
      </c>
      <c r="G41" s="587"/>
      <c r="H41" s="587"/>
      <c r="I41" s="22"/>
      <c r="J41" s="199"/>
      <c r="K41" s="22"/>
      <c r="M41" s="22"/>
      <c r="N41" s="22"/>
      <c r="O41" s="22"/>
      <c r="P41" s="22"/>
      <c r="Q41" s="22"/>
    </row>
    <row r="42" spans="3:17">
      <c r="C42" s="25" t="s">
        <v>1146</v>
      </c>
      <c r="D42" s="522"/>
      <c r="E42" s="522" t="s">
        <v>1099</v>
      </c>
      <c r="F42" s="588">
        <f>F40*F41</f>
        <v>65</v>
      </c>
      <c r="G42" s="587"/>
      <c r="H42" s="587"/>
      <c r="I42" s="22"/>
      <c r="J42" s="199"/>
      <c r="K42" s="22"/>
      <c r="M42" s="22"/>
      <c r="N42" s="22"/>
      <c r="O42" s="22"/>
      <c r="P42" s="22"/>
      <c r="Q42" s="22"/>
    </row>
    <row r="43" spans="3:17" ht="13.9" customHeight="1">
      <c r="C43" s="25" t="s">
        <v>1102</v>
      </c>
      <c r="D43" s="25"/>
      <c r="E43" s="25" t="s">
        <v>1104</v>
      </c>
      <c r="F43" s="602">
        <f>DM_xx_SR_IAD_ukazovatele!P47</f>
        <v>29.564685314685313</v>
      </c>
      <c r="G43" s="22"/>
      <c r="H43" s="587" t="s">
        <v>1103</v>
      </c>
      <c r="I43" s="22"/>
      <c r="J43" s="22"/>
      <c r="K43" s="22"/>
      <c r="M43" s="22"/>
      <c r="N43" s="22"/>
      <c r="O43" s="22"/>
      <c r="P43" s="22"/>
    </row>
    <row r="44" spans="3:17" ht="13.9" customHeight="1">
      <c r="C44" s="22" t="s">
        <v>1143</v>
      </c>
      <c r="D44" s="22"/>
      <c r="E44" s="22" t="s">
        <v>119</v>
      </c>
      <c r="F44" s="595">
        <v>0.54</v>
      </c>
      <c r="G44" s="22"/>
      <c r="H44" s="587"/>
      <c r="I44" s="22"/>
      <c r="J44" s="22"/>
      <c r="K44" s="22"/>
      <c r="M44" s="22"/>
      <c r="N44" s="22"/>
      <c r="O44" s="22"/>
      <c r="P44" s="22"/>
    </row>
    <row r="45" spans="3:17" ht="13.9" customHeight="1">
      <c r="C45" s="22" t="s">
        <v>1106</v>
      </c>
      <c r="D45" s="22"/>
      <c r="E45" s="22" t="s">
        <v>119</v>
      </c>
      <c r="F45" s="595">
        <v>0.22</v>
      </c>
      <c r="G45" s="22"/>
      <c r="H45" s="587"/>
      <c r="I45" s="22"/>
      <c r="J45" s="22"/>
      <c r="K45" s="22"/>
      <c r="M45" s="22"/>
      <c r="N45" s="22"/>
      <c r="O45" s="22"/>
      <c r="P45" s="22"/>
    </row>
    <row r="46" spans="3:17" ht="14.45" customHeight="1">
      <c r="C46" s="22" t="s">
        <v>1113</v>
      </c>
      <c r="D46" s="592"/>
      <c r="E46" s="592" t="s">
        <v>1105</v>
      </c>
      <c r="F46" s="596">
        <v>240</v>
      </c>
      <c r="G46" s="22"/>
      <c r="H46" s="587"/>
      <c r="I46" s="22"/>
      <c r="J46" s="22"/>
      <c r="K46" s="22"/>
      <c r="M46" s="22"/>
      <c r="N46" s="22"/>
      <c r="O46" s="22"/>
      <c r="P46" s="22"/>
    </row>
    <row r="47" spans="3:17" ht="14.45" customHeight="1">
      <c r="C47" s="173" t="s">
        <v>1114</v>
      </c>
      <c r="D47" s="592"/>
      <c r="E47" s="592" t="s">
        <v>1105</v>
      </c>
      <c r="F47" s="596">
        <v>60</v>
      </c>
      <c r="G47" s="22"/>
      <c r="H47" s="587"/>
      <c r="I47" s="22"/>
      <c r="J47" s="22"/>
      <c r="K47" s="22"/>
      <c r="M47" s="22"/>
      <c r="N47" s="22"/>
      <c r="O47" s="22"/>
      <c r="P47" s="22"/>
    </row>
    <row r="48" spans="3:17" ht="14.45" customHeight="1">
      <c r="C48" s="173" t="s">
        <v>1155</v>
      </c>
      <c r="D48" s="592"/>
      <c r="E48" s="592" t="s">
        <v>1105</v>
      </c>
      <c r="F48" s="596">
        <v>0</v>
      </c>
      <c r="G48" s="22"/>
      <c r="H48" s="587"/>
      <c r="I48" s="22"/>
      <c r="J48" s="22"/>
      <c r="K48" s="22"/>
      <c r="M48" s="22"/>
      <c r="N48" s="22"/>
      <c r="O48" s="22"/>
      <c r="P48" s="22"/>
    </row>
    <row r="49" spans="1:16" ht="14.45" customHeight="1">
      <c r="C49" s="173" t="s">
        <v>1115</v>
      </c>
      <c r="D49" s="592"/>
      <c r="E49" s="592" t="s">
        <v>1105</v>
      </c>
      <c r="F49" s="593">
        <v>60</v>
      </c>
      <c r="G49" s="22"/>
      <c r="H49" s="587"/>
      <c r="I49" s="22"/>
      <c r="J49" s="22"/>
      <c r="K49" s="22"/>
      <c r="M49" s="22"/>
      <c r="N49" s="22"/>
      <c r="O49" s="22"/>
      <c r="P49" s="22"/>
    </row>
    <row r="50" spans="1:16" ht="14.45" customHeight="1">
      <c r="C50" s="173" t="s">
        <v>1154</v>
      </c>
      <c r="D50" s="592"/>
      <c r="E50" s="592" t="s">
        <v>1105</v>
      </c>
      <c r="F50" s="593">
        <v>0</v>
      </c>
      <c r="G50" s="22"/>
      <c r="H50" s="587"/>
      <c r="I50" s="22"/>
      <c r="J50" s="22"/>
      <c r="K50" s="22"/>
      <c r="M50" s="22"/>
      <c r="N50" s="22"/>
      <c r="O50" s="22"/>
      <c r="P50" s="22"/>
    </row>
    <row r="51" spans="1:16" ht="14.45" customHeight="1">
      <c r="C51" s="173" t="s">
        <v>1354</v>
      </c>
      <c r="D51" s="592"/>
      <c r="E51" s="592" t="s">
        <v>1105</v>
      </c>
      <c r="F51" s="593">
        <v>10</v>
      </c>
      <c r="G51" s="22"/>
      <c r="H51" s="587"/>
      <c r="I51" s="22"/>
      <c r="J51" s="22"/>
      <c r="K51" s="22"/>
      <c r="M51" s="22"/>
      <c r="N51" s="22"/>
      <c r="O51" s="22"/>
      <c r="P51" s="22"/>
    </row>
    <row r="52" spans="1:16" ht="14.45" customHeight="1">
      <c r="C52" s="173" t="s">
        <v>1355</v>
      </c>
      <c r="D52" s="592"/>
      <c r="E52" s="592"/>
      <c r="F52" s="941">
        <v>0.46</v>
      </c>
      <c r="G52" s="22"/>
      <c r="H52" s="587"/>
      <c r="I52" s="22"/>
      <c r="J52" s="22"/>
      <c r="K52" s="22"/>
      <c r="M52" s="22"/>
      <c r="N52" s="22"/>
      <c r="O52" s="22"/>
      <c r="P52" s="22"/>
    </row>
    <row r="53" spans="1:16" ht="14.45" customHeight="1">
      <c r="C53" s="173" t="s">
        <v>1356</v>
      </c>
      <c r="D53" s="592"/>
      <c r="E53" s="592"/>
      <c r="F53" s="941">
        <v>0.37</v>
      </c>
      <c r="G53" s="22"/>
      <c r="H53" s="587"/>
      <c r="I53" s="22"/>
      <c r="J53" s="22"/>
      <c r="K53" s="22"/>
      <c r="M53" s="22"/>
      <c r="N53" s="22"/>
      <c r="O53" s="22"/>
      <c r="P53" s="22"/>
    </row>
    <row r="54" spans="1:16" ht="14.45" customHeight="1">
      <c r="C54" s="173" t="s">
        <v>1357</v>
      </c>
      <c r="D54" s="592"/>
      <c r="E54" s="592"/>
      <c r="F54" s="941">
        <v>0.13</v>
      </c>
      <c r="G54" s="22"/>
      <c r="H54" s="587"/>
      <c r="I54" s="22"/>
      <c r="J54" s="22"/>
      <c r="K54" s="22"/>
      <c r="M54" s="22"/>
      <c r="N54" s="22"/>
      <c r="O54" s="22"/>
      <c r="P54" s="22"/>
    </row>
    <row r="55" spans="1:16" ht="14.45" customHeight="1">
      <c r="C55" s="173" t="s">
        <v>1358</v>
      </c>
      <c r="D55" s="592"/>
      <c r="E55" s="592"/>
      <c r="F55" s="941">
        <v>0.04</v>
      </c>
      <c r="G55" s="22"/>
      <c r="H55" s="587"/>
      <c r="I55" s="22"/>
      <c r="J55" s="22"/>
      <c r="K55" s="22"/>
      <c r="M55" s="22"/>
      <c r="N55" s="22"/>
      <c r="O55" s="22"/>
      <c r="P55" s="22"/>
    </row>
    <row r="56" spans="1:16" ht="14.45" customHeight="1">
      <c r="C56" s="22" t="s">
        <v>1714</v>
      </c>
      <c r="D56" s="592"/>
      <c r="E56" s="592"/>
      <c r="F56" s="941"/>
      <c r="G56" s="22"/>
      <c r="H56" s="587"/>
      <c r="I56" s="22"/>
      <c r="J56" s="22"/>
      <c r="K56" s="22"/>
      <c r="M56" s="22"/>
      <c r="N56" s="22"/>
      <c r="O56" s="22"/>
      <c r="P56" s="22"/>
    </row>
    <row r="57" spans="1:16" ht="14.45" customHeight="1">
      <c r="C57" s="173"/>
      <c r="D57" s="592"/>
      <c r="E57" s="592"/>
      <c r="F57" s="596"/>
      <c r="G57" s="22"/>
      <c r="H57" s="587"/>
      <c r="I57" s="22"/>
      <c r="J57" s="22"/>
      <c r="K57" s="22"/>
      <c r="M57" s="22"/>
      <c r="N57" s="22"/>
      <c r="O57" s="22"/>
      <c r="P57" s="22"/>
    </row>
    <row r="58" spans="1:16" ht="15.75" thickBot="1">
      <c r="A58" s="125" t="s">
        <v>1263</v>
      </c>
      <c r="B58" s="125"/>
      <c r="D58" s="22"/>
      <c r="E58" s="22"/>
      <c r="F58" s="22"/>
      <c r="G58" s="22"/>
      <c r="H58" s="22"/>
      <c r="I58" s="22"/>
      <c r="J58" s="22"/>
      <c r="K58" s="22"/>
      <c r="M58" s="22"/>
      <c r="N58" s="22"/>
      <c r="O58" s="22"/>
    </row>
    <row r="59" spans="1:16">
      <c r="C59" s="727" t="s">
        <v>525</v>
      </c>
      <c r="D59" s="728">
        <v>2026</v>
      </c>
      <c r="E59" s="728">
        <v>2027</v>
      </c>
      <c r="F59" s="728">
        <v>2028</v>
      </c>
      <c r="G59" s="728">
        <v>2029</v>
      </c>
      <c r="H59" s="728">
        <v>2030</v>
      </c>
      <c r="I59" s="728">
        <v>2031</v>
      </c>
      <c r="J59" s="728">
        <v>2032</v>
      </c>
      <c r="K59" s="916">
        <v>2033</v>
      </c>
      <c r="M59" s="22"/>
      <c r="N59" s="22"/>
      <c r="O59" s="22"/>
      <c r="P59" s="22"/>
    </row>
    <row r="60" spans="1:16">
      <c r="C60" s="702" t="s">
        <v>883</v>
      </c>
      <c r="D60" s="725">
        <v>0.03</v>
      </c>
      <c r="E60" s="725">
        <v>0.06</v>
      </c>
      <c r="F60" s="725">
        <v>0.09</v>
      </c>
      <c r="G60" s="725">
        <v>0.12</v>
      </c>
      <c r="H60" s="725">
        <v>0.15</v>
      </c>
      <c r="I60" s="725">
        <v>0.18</v>
      </c>
      <c r="J60" s="913">
        <v>0.21</v>
      </c>
      <c r="K60" s="726">
        <v>0.24</v>
      </c>
      <c r="M60" s="22"/>
      <c r="N60" s="22"/>
      <c r="O60" s="22"/>
      <c r="P60" s="22"/>
    </row>
    <row r="61" spans="1:16">
      <c r="C61" s="702" t="s">
        <v>1108</v>
      </c>
      <c r="D61" s="725">
        <v>0.9844538845594456</v>
      </c>
      <c r="E61" s="725">
        <v>0.97712073906036423</v>
      </c>
      <c r="F61" s="725">
        <v>0.96849004448062326</v>
      </c>
      <c r="G61" s="725">
        <v>0.95861506654778561</v>
      </c>
      <c r="H61" s="725">
        <v>0.9475476767177885</v>
      </c>
      <c r="I61" s="725">
        <v>0.93504983896626448</v>
      </c>
      <c r="J61" s="913">
        <v>0.92089662006424389</v>
      </c>
      <c r="K61" s="726">
        <v>0.9048757661069089</v>
      </c>
      <c r="M61" s="22"/>
      <c r="N61" s="22"/>
      <c r="O61" s="22"/>
      <c r="P61" s="22"/>
    </row>
    <row r="62" spans="1:16">
      <c r="C62" s="702" t="s">
        <v>872</v>
      </c>
      <c r="D62" s="725">
        <v>3.5000000000000003E-2</v>
      </c>
      <c r="E62" s="725">
        <v>7.0000000000000007E-2</v>
      </c>
      <c r="F62" s="725">
        <v>7.0000000000000007E-2</v>
      </c>
      <c r="G62" s="725">
        <v>7.0000000000000007E-2</v>
      </c>
      <c r="H62" s="725">
        <v>7.0000000000000007E-2</v>
      </c>
      <c r="I62" s="725">
        <v>7.0000000000000007E-2</v>
      </c>
      <c r="J62" s="913">
        <v>7.0000000000000007E-2</v>
      </c>
      <c r="K62" s="726">
        <v>7.0000000000000007E-2</v>
      </c>
      <c r="M62" s="22"/>
      <c r="N62" s="22"/>
      <c r="O62" s="22"/>
      <c r="P62" s="22"/>
    </row>
    <row r="63" spans="1:16">
      <c r="C63" s="790" t="s">
        <v>1330</v>
      </c>
      <c r="D63" s="792">
        <v>4.3750000000000004E-3</v>
      </c>
      <c r="E63" s="792">
        <v>1.7500000000000002E-2</v>
      </c>
      <c r="F63" s="792">
        <f t="shared" ref="F63:K63" si="3">F62/$F$41/10</f>
        <v>3.5000000000000003E-2</v>
      </c>
      <c r="G63" s="792">
        <f t="shared" si="3"/>
        <v>3.5000000000000003E-2</v>
      </c>
      <c r="H63" s="792">
        <f t="shared" si="3"/>
        <v>3.5000000000000003E-2</v>
      </c>
      <c r="I63" s="792">
        <f t="shared" si="3"/>
        <v>3.5000000000000003E-2</v>
      </c>
      <c r="J63" s="915">
        <f t="shared" si="3"/>
        <v>3.5000000000000003E-2</v>
      </c>
      <c r="K63" s="911">
        <f t="shared" si="3"/>
        <v>3.5000000000000003E-2</v>
      </c>
      <c r="M63" s="22"/>
      <c r="N63" s="22"/>
      <c r="O63" s="22"/>
      <c r="P63" s="22"/>
    </row>
    <row r="64" spans="1:16" ht="15.75" thickBot="1">
      <c r="C64" s="721" t="s">
        <v>1345</v>
      </c>
      <c r="D64" s="737">
        <v>7.0000000000000001E-3</v>
      </c>
      <c r="E64" s="737">
        <v>1.4E-2</v>
      </c>
      <c r="F64" s="737">
        <v>2.1000000000000001E-2</v>
      </c>
      <c r="G64" s="737">
        <v>2.8000000000000001E-2</v>
      </c>
      <c r="H64" s="737">
        <v>3.5000000000000003E-2</v>
      </c>
      <c r="I64" s="737">
        <v>4.2000000000000003E-2</v>
      </c>
      <c r="J64" s="914">
        <v>4.9000000000000002E-2</v>
      </c>
      <c r="K64" s="738">
        <v>5.6000000000000001E-2</v>
      </c>
      <c r="M64" s="22"/>
      <c r="N64" s="22"/>
      <c r="O64" s="22"/>
      <c r="P64" s="22"/>
    </row>
    <row r="65" spans="1:16">
      <c r="C65" s="702" t="s">
        <v>928</v>
      </c>
      <c r="D65" s="725">
        <v>0.04</v>
      </c>
      <c r="E65" s="725">
        <v>0.08</v>
      </c>
      <c r="F65" s="725">
        <v>0.12</v>
      </c>
      <c r="G65" s="725">
        <v>0.16</v>
      </c>
      <c r="H65" s="725">
        <v>0.2</v>
      </c>
      <c r="I65" s="725">
        <v>0.24</v>
      </c>
      <c r="J65" s="913">
        <v>0.28000000000000003</v>
      </c>
      <c r="K65" s="726">
        <v>0.32</v>
      </c>
      <c r="M65" s="22"/>
      <c r="N65" s="22"/>
      <c r="O65" s="22"/>
      <c r="P65" s="22"/>
    </row>
    <row r="66" spans="1:16">
      <c r="C66" s="702" t="s">
        <v>1260</v>
      </c>
      <c r="D66" s="725">
        <v>0.9844538845594456</v>
      </c>
      <c r="E66" s="725">
        <v>0.97712073906036423</v>
      </c>
      <c r="F66" s="725">
        <v>0.96849004448062326</v>
      </c>
      <c r="G66" s="725">
        <v>0.95861506654778561</v>
      </c>
      <c r="H66" s="725">
        <v>0.9475476767177885</v>
      </c>
      <c r="I66" s="725">
        <v>0.93504983896626448</v>
      </c>
      <c r="J66" s="913">
        <v>0.92089662006424389</v>
      </c>
      <c r="K66" s="726">
        <v>0.9048757661069089</v>
      </c>
      <c r="M66" s="22"/>
      <c r="N66" s="22"/>
      <c r="O66" s="22"/>
      <c r="P66" s="22"/>
    </row>
    <row r="67" spans="1:16">
      <c r="C67" s="790" t="s">
        <v>1331</v>
      </c>
      <c r="D67" s="792">
        <v>6.5624999999999998E-3</v>
      </c>
      <c r="E67" s="792">
        <v>2.6249999999999999E-2</v>
      </c>
      <c r="F67" s="792">
        <f t="shared" ref="F67:K67" si="4">F62*0.75</f>
        <v>5.2500000000000005E-2</v>
      </c>
      <c r="G67" s="792">
        <f t="shared" si="4"/>
        <v>5.2500000000000005E-2</v>
      </c>
      <c r="H67" s="792">
        <f t="shared" si="4"/>
        <v>5.2500000000000005E-2</v>
      </c>
      <c r="I67" s="792">
        <f t="shared" si="4"/>
        <v>5.2500000000000005E-2</v>
      </c>
      <c r="J67" s="915">
        <f t="shared" si="4"/>
        <v>5.2500000000000005E-2</v>
      </c>
      <c r="K67" s="911">
        <f t="shared" si="4"/>
        <v>5.2500000000000005E-2</v>
      </c>
      <c r="M67" s="22"/>
      <c r="N67" s="22"/>
      <c r="O67" s="22"/>
      <c r="P67" s="22"/>
    </row>
    <row r="68" spans="1:16" ht="15.75" thickBot="1">
      <c r="C68" s="721" t="s">
        <v>1343</v>
      </c>
      <c r="D68" s="737">
        <v>7.0000000000000001E-3</v>
      </c>
      <c r="E68" s="737">
        <v>1.4E-2</v>
      </c>
      <c r="F68" s="737">
        <v>2.1000000000000001E-2</v>
      </c>
      <c r="G68" s="737">
        <v>2.8000000000000001E-2</v>
      </c>
      <c r="H68" s="737">
        <v>3.5000000000000003E-2</v>
      </c>
      <c r="I68" s="737">
        <v>4.2000000000000003E-2</v>
      </c>
      <c r="J68" s="914">
        <v>4.9000000000000002E-2</v>
      </c>
      <c r="K68" s="738">
        <v>5.6000000000000001E-2</v>
      </c>
      <c r="M68" s="22"/>
      <c r="N68" s="22"/>
      <c r="O68" s="22"/>
      <c r="P68" s="22"/>
    </row>
    <row r="69" spans="1:16">
      <c r="C69" s="702" t="s">
        <v>929</v>
      </c>
      <c r="D69" s="725">
        <v>0.05</v>
      </c>
      <c r="E69" s="725">
        <v>0.1</v>
      </c>
      <c r="F69" s="725">
        <v>0.15</v>
      </c>
      <c r="G69" s="725">
        <v>0.2</v>
      </c>
      <c r="H69" s="725">
        <v>0.25</v>
      </c>
      <c r="I69" s="725">
        <v>0.3</v>
      </c>
      <c r="J69" s="913">
        <v>0.35</v>
      </c>
      <c r="K69" s="726">
        <v>0.4</v>
      </c>
      <c r="M69" s="22"/>
      <c r="N69" s="22"/>
      <c r="O69" s="22"/>
      <c r="P69" s="22"/>
    </row>
    <row r="70" spans="1:16">
      <c r="C70" s="702" t="s">
        <v>1261</v>
      </c>
      <c r="D70" s="725">
        <v>0.9844538845594456</v>
      </c>
      <c r="E70" s="725">
        <v>0.97712073906036423</v>
      </c>
      <c r="F70" s="725">
        <v>0.96849004448062326</v>
      </c>
      <c r="G70" s="725">
        <v>0.95861506654778561</v>
      </c>
      <c r="H70" s="725">
        <v>0.9475476767177885</v>
      </c>
      <c r="I70" s="725">
        <v>0.93504983896626448</v>
      </c>
      <c r="J70" s="913">
        <v>0.92089662006424389</v>
      </c>
      <c r="K70" s="726">
        <v>0.9048757661069089</v>
      </c>
      <c r="M70" s="22"/>
      <c r="N70" s="22"/>
      <c r="O70" s="22"/>
      <c r="P70" s="22"/>
    </row>
    <row r="71" spans="1:16">
      <c r="C71" s="790" t="s">
        <v>1332</v>
      </c>
      <c r="D71" s="791">
        <f>7%*D82</f>
        <v>8.7500000000000008E-3</v>
      </c>
      <c r="E71" s="792">
        <v>3.5000000000000003E-2</v>
      </c>
      <c r="F71" s="792">
        <v>7.0000000000000007E-2</v>
      </c>
      <c r="G71" s="792">
        <v>7.0000000000000007E-2</v>
      </c>
      <c r="H71" s="792">
        <v>7.0000000000000007E-2</v>
      </c>
      <c r="I71" s="792">
        <v>7.0000000000000007E-2</v>
      </c>
      <c r="J71" s="915">
        <v>7.0000000000000007E-2</v>
      </c>
      <c r="K71" s="911">
        <v>7.0000000000000007E-2</v>
      </c>
      <c r="M71" s="22"/>
      <c r="N71" s="22"/>
      <c r="O71" s="22"/>
      <c r="P71" s="22"/>
    </row>
    <row r="72" spans="1:16" ht="15.75" thickBot="1">
      <c r="C72" s="721" t="s">
        <v>1346</v>
      </c>
      <c r="D72" s="737">
        <v>7.0000000000000001E-3</v>
      </c>
      <c r="E72" s="737">
        <v>1.4E-2</v>
      </c>
      <c r="F72" s="737">
        <v>2.1000000000000001E-2</v>
      </c>
      <c r="G72" s="737">
        <v>2.8000000000000001E-2</v>
      </c>
      <c r="H72" s="737">
        <v>3.5000000000000003E-2</v>
      </c>
      <c r="I72" s="737">
        <v>4.2000000000000003E-2</v>
      </c>
      <c r="J72" s="914">
        <v>4.9000000000000002E-2</v>
      </c>
      <c r="K72" s="738">
        <v>5.6000000000000001E-2</v>
      </c>
      <c r="M72" s="22"/>
      <c r="N72" s="22"/>
      <c r="O72" s="22"/>
      <c r="P72" s="22"/>
    </row>
    <row r="73" spans="1:16" ht="15.75" thickBot="1">
      <c r="A73" s="125" t="s">
        <v>1181</v>
      </c>
      <c r="B73" s="125"/>
      <c r="D73" s="22"/>
      <c r="E73" s="22"/>
      <c r="F73" s="22"/>
      <c r="G73" s="22"/>
      <c r="H73" s="22"/>
      <c r="I73" s="22"/>
      <c r="J73" s="22"/>
      <c r="K73" s="22"/>
      <c r="M73" s="22"/>
      <c r="N73" s="22"/>
      <c r="O73" s="22"/>
    </row>
    <row r="74" spans="1:16">
      <c r="C74" s="727" t="s">
        <v>525</v>
      </c>
      <c r="D74" s="728">
        <v>2026</v>
      </c>
      <c r="E74" s="728">
        <v>2027</v>
      </c>
      <c r="F74" s="728">
        <v>2028</v>
      </c>
      <c r="G74" s="728">
        <v>2029</v>
      </c>
      <c r="H74" s="728">
        <v>2030</v>
      </c>
      <c r="I74" s="728">
        <v>2031</v>
      </c>
      <c r="J74" s="728">
        <v>2032</v>
      </c>
      <c r="K74" s="916">
        <v>2033</v>
      </c>
      <c r="M74" s="22"/>
      <c r="N74" s="22"/>
      <c r="O74" s="22"/>
      <c r="P74" s="22"/>
    </row>
    <row r="75" spans="1:16">
      <c r="C75" s="702" t="s">
        <v>883</v>
      </c>
      <c r="D75" s="725">
        <v>0.03</v>
      </c>
      <c r="E75" s="725">
        <v>0.06</v>
      </c>
      <c r="F75" s="725">
        <v>0.09</v>
      </c>
      <c r="G75" s="725">
        <v>0.12</v>
      </c>
      <c r="H75" s="725">
        <v>0.15</v>
      </c>
      <c r="I75" s="725">
        <v>0.18</v>
      </c>
      <c r="J75" s="913">
        <v>0.21</v>
      </c>
      <c r="K75" s="726">
        <v>0.24</v>
      </c>
      <c r="M75" s="22"/>
      <c r="N75" s="22"/>
      <c r="O75" s="22"/>
      <c r="P75" s="22"/>
    </row>
    <row r="76" spans="1:16">
      <c r="C76" s="702" t="s">
        <v>872</v>
      </c>
      <c r="D76" s="725">
        <v>6.25E-2</v>
      </c>
      <c r="E76" s="725">
        <v>0.25</v>
      </c>
      <c r="F76" s="725">
        <v>0.5</v>
      </c>
      <c r="G76" s="725">
        <v>0.5</v>
      </c>
      <c r="H76" s="725">
        <v>0.5</v>
      </c>
      <c r="I76" s="725">
        <v>0.5</v>
      </c>
      <c r="J76" s="913">
        <v>0.5</v>
      </c>
      <c r="K76" s="726">
        <v>0.5</v>
      </c>
      <c r="M76" s="22"/>
      <c r="N76" s="22"/>
      <c r="O76" s="22"/>
      <c r="P76" s="22"/>
    </row>
    <row r="77" spans="1:16" ht="15.75" thickBot="1">
      <c r="C77" s="721" t="s">
        <v>1345</v>
      </c>
      <c r="D77" s="912">
        <v>7.0000000000000001E-3</v>
      </c>
      <c r="E77" s="737">
        <v>1.4E-2</v>
      </c>
      <c r="F77" s="737">
        <v>2.1000000000000001E-2</v>
      </c>
      <c r="G77" s="737">
        <v>2.8000000000000001E-2</v>
      </c>
      <c r="H77" s="737">
        <v>3.5000000000000003E-2</v>
      </c>
      <c r="I77" s="737">
        <v>4.2000000000000003E-2</v>
      </c>
      <c r="J77" s="914">
        <v>4.9000000000000002E-2</v>
      </c>
      <c r="K77" s="738">
        <v>5.6000000000000001E-2</v>
      </c>
      <c r="M77" s="22"/>
      <c r="N77" s="22"/>
      <c r="O77" s="22"/>
      <c r="P77" s="22"/>
    </row>
    <row r="78" spans="1:16">
      <c r="C78" s="704" t="s">
        <v>928</v>
      </c>
      <c r="D78" s="725">
        <v>0.04</v>
      </c>
      <c r="E78" s="725">
        <v>0.08</v>
      </c>
      <c r="F78" s="725">
        <v>0.12</v>
      </c>
      <c r="G78" s="725">
        <v>0.16</v>
      </c>
      <c r="H78" s="725">
        <v>0.2</v>
      </c>
      <c r="I78" s="725">
        <v>0.24</v>
      </c>
      <c r="J78" s="913">
        <v>0.28000000000000003</v>
      </c>
      <c r="K78" s="726">
        <v>0.32</v>
      </c>
      <c r="M78" s="22"/>
      <c r="N78" s="22"/>
      <c r="O78" s="22"/>
      <c r="P78" s="22"/>
    </row>
    <row r="79" spans="1:16">
      <c r="C79" s="790" t="s">
        <v>876</v>
      </c>
      <c r="D79" s="791">
        <v>9.375E-2</v>
      </c>
      <c r="E79" s="792">
        <v>0.375</v>
      </c>
      <c r="F79" s="792">
        <v>0.75</v>
      </c>
      <c r="G79" s="792">
        <v>0.75</v>
      </c>
      <c r="H79" s="792">
        <v>0.75</v>
      </c>
      <c r="I79" s="792">
        <v>0.75</v>
      </c>
      <c r="J79" s="915">
        <v>0.75</v>
      </c>
      <c r="K79" s="911">
        <v>0.75</v>
      </c>
      <c r="M79" s="22"/>
      <c r="N79" s="22"/>
      <c r="O79" s="22"/>
      <c r="P79" s="22"/>
    </row>
    <row r="80" spans="1:16" ht="15.75" thickBot="1">
      <c r="C80" s="721" t="s">
        <v>1343</v>
      </c>
      <c r="D80" s="912">
        <v>7.0000000000000001E-3</v>
      </c>
      <c r="E80" s="737">
        <v>1.4E-2</v>
      </c>
      <c r="F80" s="737">
        <v>2.1000000000000001E-2</v>
      </c>
      <c r="G80" s="737">
        <v>2.8000000000000001E-2</v>
      </c>
      <c r="H80" s="737">
        <v>3.5000000000000003E-2</v>
      </c>
      <c r="I80" s="737">
        <v>4.2000000000000003E-2</v>
      </c>
      <c r="J80" s="914">
        <v>4.9000000000000002E-2</v>
      </c>
      <c r="K80" s="738">
        <v>5.6000000000000001E-2</v>
      </c>
      <c r="M80" s="22"/>
      <c r="N80" s="22"/>
      <c r="O80" s="22"/>
      <c r="P80" s="22"/>
    </row>
    <row r="81" spans="1:16">
      <c r="C81" s="704" t="s">
        <v>929</v>
      </c>
      <c r="D81" s="725">
        <v>0.05</v>
      </c>
      <c r="E81" s="725">
        <v>0.1</v>
      </c>
      <c r="F81" s="725">
        <v>0.15</v>
      </c>
      <c r="G81" s="725">
        <v>0.2</v>
      </c>
      <c r="H81" s="725">
        <v>0.25</v>
      </c>
      <c r="I81" s="725">
        <v>0.3</v>
      </c>
      <c r="J81" s="913">
        <v>0.35</v>
      </c>
      <c r="K81" s="726">
        <v>0.4</v>
      </c>
      <c r="M81" s="22"/>
      <c r="N81" s="22"/>
      <c r="O81" s="22"/>
      <c r="P81" s="22"/>
    </row>
    <row r="82" spans="1:16">
      <c r="C82" s="790" t="s">
        <v>877</v>
      </c>
      <c r="D82" s="792">
        <v>0.125</v>
      </c>
      <c r="E82" s="792">
        <v>0.5</v>
      </c>
      <c r="F82" s="792">
        <v>1</v>
      </c>
      <c r="G82" s="792">
        <v>1</v>
      </c>
      <c r="H82" s="792">
        <v>1</v>
      </c>
      <c r="I82" s="792">
        <v>1</v>
      </c>
      <c r="J82" s="915">
        <v>1</v>
      </c>
      <c r="K82" s="911">
        <v>1</v>
      </c>
      <c r="M82" s="22"/>
      <c r="N82" s="22"/>
      <c r="O82" s="22"/>
      <c r="P82" s="22"/>
    </row>
    <row r="83" spans="1:16" ht="15.75" thickBot="1">
      <c r="C83" s="721" t="s">
        <v>1344</v>
      </c>
      <c r="D83" s="737">
        <v>7.0000000000000001E-3</v>
      </c>
      <c r="E83" s="737">
        <v>1.4E-2</v>
      </c>
      <c r="F83" s="737">
        <v>2.1000000000000001E-2</v>
      </c>
      <c r="G83" s="737">
        <v>2.8000000000000001E-2</v>
      </c>
      <c r="H83" s="737">
        <v>3.5000000000000003E-2</v>
      </c>
      <c r="I83" s="737">
        <v>4.2000000000000003E-2</v>
      </c>
      <c r="J83" s="914">
        <v>4.9000000000000002E-2</v>
      </c>
      <c r="K83" s="738">
        <v>5.6000000000000001E-2</v>
      </c>
      <c r="M83" s="22"/>
      <c r="N83" s="22"/>
      <c r="O83" s="22"/>
      <c r="P83" s="22"/>
    </row>
    <row r="84" spans="1:16">
      <c r="A84" s="125" t="s">
        <v>533</v>
      </c>
      <c r="B84" s="125"/>
      <c r="C84" s="22"/>
      <c r="D84" s="22"/>
      <c r="E84" s="22"/>
      <c r="F84" s="22"/>
      <c r="G84" s="22"/>
      <c r="H84" s="22"/>
      <c r="I84" s="22"/>
      <c r="J84" s="22"/>
      <c r="K84" s="22"/>
      <c r="M84" s="22"/>
      <c r="N84" s="22"/>
      <c r="O84" s="22"/>
      <c r="P84" s="22"/>
    </row>
    <row r="85" spans="1:16">
      <c r="C85" s="178" t="s">
        <v>529</v>
      </c>
      <c r="D85" s="179">
        <v>2026</v>
      </c>
      <c r="E85" s="179">
        <v>2027</v>
      </c>
      <c r="F85" s="179">
        <v>2028</v>
      </c>
      <c r="G85" s="179">
        <v>2029</v>
      </c>
      <c r="H85" s="179">
        <v>2030</v>
      </c>
      <c r="I85" s="179">
        <v>2031</v>
      </c>
      <c r="J85" s="179">
        <v>2032</v>
      </c>
      <c r="K85" s="180">
        <v>2033</v>
      </c>
    </row>
    <row r="86" spans="1:16">
      <c r="C86" s="571" t="s">
        <v>1048</v>
      </c>
      <c r="D86" s="572">
        <f>'B_03 Súhrn-vstupy a projekcie'!M78/2</f>
        <v>26050745.588890802</v>
      </c>
      <c r="E86" s="572">
        <f>'B_03 Súhrn-vstupy a projekcie'!N78</f>
        <v>51951222.341109097</v>
      </c>
      <c r="F86" s="572">
        <f>'B_03 Súhrn-vstupy a projekcie'!O78</f>
        <v>51843813.478441522</v>
      </c>
      <c r="G86" s="572">
        <f>'B_03 Súhrn-vstupy a projekcie'!P78</f>
        <v>51780738.027823359</v>
      </c>
      <c r="H86" s="572">
        <f>'B_03 Súhrn-vstupy a projekcie'!Q78</f>
        <v>51763565.444743782</v>
      </c>
      <c r="I86" s="572">
        <f>'B_03 Súhrn-vstupy a projekcie'!R78</f>
        <v>51793966.202247679</v>
      </c>
      <c r="J86" s="572">
        <f>'B_03 Súhrn-vstupy a projekcie'!S78</f>
        <v>51873717.069969907</v>
      </c>
      <c r="K86" s="573">
        <f>'B_03 Súhrn-vstupy a projekcie'!T78</f>
        <v>52004706.687306672</v>
      </c>
      <c r="M86" s="22"/>
      <c r="N86" s="22"/>
      <c r="O86" s="22"/>
      <c r="P86" s="22"/>
    </row>
    <row r="87" spans="1:16">
      <c r="C87" s="574" t="s">
        <v>1049</v>
      </c>
      <c r="D87" s="572">
        <f>'B_03 Súhrn-vstupy a projekcie'!M84/2</f>
        <v>35721541.909731567</v>
      </c>
      <c r="E87" s="572">
        <f>'B_03 Súhrn-vstupy a projekcie'!N84</f>
        <v>70112419.277646154</v>
      </c>
      <c r="F87" s="572">
        <f>'B_03 Súhrn-vstupy a projekcie'!O84</f>
        <v>68815906.150390878</v>
      </c>
      <c r="G87" s="572">
        <f>'B_03 Súhrn-vstupy a projekcie'!P84</f>
        <v>67552628.238298923</v>
      </c>
      <c r="H87" s="572">
        <f>'B_03 Súhrn-vstupy a projekcie'!Q84</f>
        <v>66321694.586008757</v>
      </c>
      <c r="I87" s="572">
        <f>'B_03 Súhrn-vstupy a projekcie'!R84</f>
        <v>65122238.774746493</v>
      </c>
      <c r="J87" s="572">
        <f>'B_03 Súhrn-vstupy a projekcie'!S84</f>
        <v>63953418.234965406</v>
      </c>
      <c r="K87" s="573">
        <f>'B_03 Súhrn-vstupy a projekcie'!T84</f>
        <v>62814413.578497261</v>
      </c>
      <c r="M87" s="22"/>
      <c r="N87" s="22"/>
      <c r="O87" s="22"/>
      <c r="P87" s="22"/>
    </row>
    <row r="88" spans="1:16">
      <c r="C88" s="574" t="s">
        <v>1050</v>
      </c>
      <c r="D88" s="572">
        <f>'B_03 Súhrn-vstupy a projekcie'!M16/2</f>
        <v>89277908.812662169</v>
      </c>
      <c r="E88" s="572">
        <f>'B_03 Súhrn-vstupy a projekcie'!N16</f>
        <v>179542602.68646517</v>
      </c>
      <c r="F88" s="572">
        <f>'B_03 Súhrn-vstupy a projekcie'!O16</f>
        <v>180538253.24349684</v>
      </c>
      <c r="G88" s="572">
        <f>'B_03 Súhrn-vstupy a projekcie'!P16</f>
        <v>181542631.61119959</v>
      </c>
      <c r="H88" s="572">
        <f>'B_03 Súhrn-vstupy a projekcie'!Q16</f>
        <v>182555594.04820269</v>
      </c>
      <c r="I88" s="572">
        <f>'B_03 Súhrn-vstupy a projekcie'!R16</f>
        <v>183576990.76556796</v>
      </c>
      <c r="J88" s="572">
        <f>'B_03 Súhrn-vstupy a projekcie'!S16</f>
        <v>184606665.94270274</v>
      </c>
      <c r="K88" s="573">
        <f>'B_03 Súhrn-vstupy a projekcie'!T16</f>
        <v>185644457.75074762</v>
      </c>
      <c r="M88" s="22"/>
      <c r="N88" s="22"/>
      <c r="O88" s="22"/>
      <c r="P88" s="22"/>
    </row>
    <row r="89" spans="1:16">
      <c r="C89" s="575" t="s">
        <v>1051</v>
      </c>
      <c r="D89" s="572">
        <f>'B_03 Súhrn-vstupy a projekcie'!M20/2</f>
        <v>113837518.55882525</v>
      </c>
      <c r="E89" s="572">
        <f>'B_03 Súhrn-vstupy a projekcie'!N20</f>
        <v>226309626.5819703</v>
      </c>
      <c r="F89" s="572">
        <f>'B_03 Súhrn-vstupy a projekcie'!O20</f>
        <v>224935703.44641453</v>
      </c>
      <c r="G89" s="572">
        <f>'B_03 Súhrn-vstupy a projekcie'!P20</f>
        <v>223553405.06728828</v>
      </c>
      <c r="H89" s="572">
        <f>'B_03 Súhrn-vstupy a projekcie'!Q20</f>
        <v>222162874.85735345</v>
      </c>
      <c r="I89" s="572">
        <f>'B_03 Súhrn-vstupy a projekcie'!R20</f>
        <v>220764262.27724645</v>
      </c>
      <c r="J89" s="572">
        <f>'B_03 Súhrn-vstupy a projekcie'!S20</f>
        <v>219357722.81956345</v>
      </c>
      <c r="K89" s="573">
        <f>'B_03 Súhrn-vstupy a projekcie'!T20</f>
        <v>217943417.98547351</v>
      </c>
      <c r="M89" s="22"/>
      <c r="N89" s="22"/>
      <c r="O89" s="22"/>
      <c r="P89" s="22"/>
    </row>
    <row r="90" spans="1:16">
      <c r="C90" s="576" t="s">
        <v>1030</v>
      </c>
      <c r="D90" s="572">
        <f>'B_03 Súhrn-vstupy a projekcie'!M112/2</f>
        <v>37167467.423715658</v>
      </c>
      <c r="E90" s="572">
        <f>'B_03 Súhrn-vstupy a projekcie'!N112</f>
        <v>75970303.414074808</v>
      </c>
      <c r="F90" s="572">
        <f>'B_03 Súhrn-vstupy a projekcie'!O112</f>
        <v>77641650.089184448</v>
      </c>
      <c r="G90" s="572">
        <f>'B_03 Súhrn-vstupy a projekcie'!P112</f>
        <v>79349766.391146511</v>
      </c>
      <c r="H90" s="572">
        <f>'B_03 Súhrn-vstupy a projekcie'!Q112</f>
        <v>81095461.251751736</v>
      </c>
      <c r="I90" s="572">
        <f>'B_03 Súhrn-vstupy a projekcie'!R112</f>
        <v>82879561.399290279</v>
      </c>
      <c r="J90" s="572">
        <f>'B_03 Súhrn-vstupy a projekcie'!S112</f>
        <v>84702911.75007467</v>
      </c>
      <c r="K90" s="573">
        <f>'B_03 Súhrn-vstupy a projekcie'!T112</f>
        <v>86566375.808576316</v>
      </c>
      <c r="M90" s="22"/>
      <c r="N90" s="22"/>
      <c r="O90" s="22"/>
      <c r="P90" s="22"/>
    </row>
    <row r="91" spans="1:16">
      <c r="C91" s="379" t="s">
        <v>1060</v>
      </c>
      <c r="D91" s="380">
        <f t="shared" ref="D91:K91" si="5">SUM(D86:D90)</f>
        <v>302055182.29382545</v>
      </c>
      <c r="E91" s="380">
        <f t="shared" si="5"/>
        <v>603886174.30126548</v>
      </c>
      <c r="F91" s="380">
        <f t="shared" si="5"/>
        <v>603775326.40792823</v>
      </c>
      <c r="G91" s="380">
        <f t="shared" si="5"/>
        <v>603779169.33575666</v>
      </c>
      <c r="H91" s="380">
        <f t="shared" si="5"/>
        <v>603899190.1880604</v>
      </c>
      <c r="I91" s="380">
        <f t="shared" si="5"/>
        <v>604137019.41909885</v>
      </c>
      <c r="J91" s="380">
        <f t="shared" si="5"/>
        <v>604494435.81727612</v>
      </c>
      <c r="K91" s="586">
        <f t="shared" si="5"/>
        <v>604973371.81060135</v>
      </c>
      <c r="M91" s="22"/>
      <c r="N91" s="22"/>
      <c r="O91" s="22"/>
      <c r="P91" s="22"/>
    </row>
    <row r="92" spans="1:16">
      <c r="C92" s="174" t="s">
        <v>1091</v>
      </c>
      <c r="D92" s="594">
        <f t="shared" ref="D92:K92" si="6">D86/D91</f>
        <v>8.6244988055029725E-2</v>
      </c>
      <c r="E92" s="594">
        <f t="shared" si="6"/>
        <v>8.6028169797429041E-2</v>
      </c>
      <c r="F92" s="594">
        <f t="shared" si="6"/>
        <v>8.5866068404746851E-2</v>
      </c>
      <c r="G92" s="594">
        <f t="shared" si="6"/>
        <v>8.5761054136381631E-2</v>
      </c>
      <c r="H92" s="594">
        <f t="shared" si="6"/>
        <v>8.5715573535748699E-2</v>
      </c>
      <c r="I92" s="594">
        <f t="shared" si="6"/>
        <v>8.573215104753816E-2</v>
      </c>
      <c r="J92" s="594">
        <f t="shared" si="6"/>
        <v>8.5813390490247721E-2</v>
      </c>
      <c r="K92" s="594">
        <f t="shared" si="6"/>
        <v>8.5961976362139383E-2</v>
      </c>
      <c r="M92" s="22"/>
      <c r="N92" s="22"/>
      <c r="O92" s="22"/>
      <c r="P92" s="22"/>
    </row>
    <row r="93" spans="1:16">
      <c r="C93" s="175" t="s">
        <v>1092</v>
      </c>
      <c r="D93" s="594">
        <f t="shared" ref="D93:K93" si="7">D87/D91</f>
        <v>0.11826164225510055</v>
      </c>
      <c r="E93" s="594">
        <f t="shared" si="7"/>
        <v>0.1161020441621646</v>
      </c>
      <c r="F93" s="594">
        <f t="shared" si="7"/>
        <v>0.11397601581336704</v>
      </c>
      <c r="G93" s="594">
        <f t="shared" si="7"/>
        <v>0.11188300569000495</v>
      </c>
      <c r="H93" s="594">
        <f t="shared" si="7"/>
        <v>0.10982245988002651</v>
      </c>
      <c r="I93" s="594">
        <f t="shared" si="7"/>
        <v>0.1077938227281024</v>
      </c>
      <c r="J93" s="594">
        <f t="shared" si="7"/>
        <v>0.10579653747929114</v>
      </c>
      <c r="K93" s="594">
        <f t="shared" si="7"/>
        <v>0.10383004691677988</v>
      </c>
      <c r="M93" s="22"/>
      <c r="N93" s="22"/>
      <c r="O93" s="22"/>
      <c r="P93" s="22"/>
    </row>
    <row r="94" spans="1:16">
      <c r="C94" s="175" t="s">
        <v>1093</v>
      </c>
      <c r="D94" s="594">
        <f t="shared" ref="D94:K94" si="8">D88/D91</f>
        <v>0.29556820755293883</v>
      </c>
      <c r="E94" s="594">
        <f t="shared" si="8"/>
        <v>0.2973119940926075</v>
      </c>
      <c r="F94" s="594">
        <f t="shared" si="8"/>
        <v>0.29901561946491323</v>
      </c>
      <c r="G94" s="594">
        <f t="shared" si="8"/>
        <v>0.3006772025787548</v>
      </c>
      <c r="H94" s="594">
        <f t="shared" si="8"/>
        <v>0.30229481511865086</v>
      </c>
      <c r="I94" s="594">
        <f t="shared" si="8"/>
        <v>0.30386648204754008</v>
      </c>
      <c r="J94" s="594">
        <f t="shared" si="8"/>
        <v>0.30539018228201659</v>
      </c>
      <c r="K94" s="594">
        <f t="shared" si="8"/>
        <v>0.30686384955281504</v>
      </c>
      <c r="M94" s="22"/>
      <c r="N94" s="22"/>
      <c r="O94" s="22"/>
      <c r="P94" s="22"/>
    </row>
    <row r="95" spans="1:16">
      <c r="C95" s="589" t="s">
        <v>1094</v>
      </c>
      <c r="D95" s="594">
        <f t="shared" ref="D95:K95" si="9">D89/D91</f>
        <v>0.37687656174059392</v>
      </c>
      <c r="E95" s="594">
        <f t="shared" si="9"/>
        <v>0.37475543606181227</v>
      </c>
      <c r="F95" s="594">
        <f t="shared" si="9"/>
        <v>0.37254868426743459</v>
      </c>
      <c r="G95" s="594">
        <f t="shared" si="9"/>
        <v>0.37025690255798155</v>
      </c>
      <c r="H95" s="594">
        <f t="shared" si="9"/>
        <v>0.36788072987508008</v>
      </c>
      <c r="I95" s="594">
        <f t="shared" si="9"/>
        <v>0.36542084855107843</v>
      </c>
      <c r="J95" s="594">
        <f t="shared" si="9"/>
        <v>0.36287798501071716</v>
      </c>
      <c r="K95" s="594">
        <f t="shared" si="9"/>
        <v>0.36025291052596103</v>
      </c>
      <c r="M95" s="22"/>
      <c r="N95" s="22"/>
      <c r="O95" s="22"/>
      <c r="P95" s="22"/>
    </row>
    <row r="96" spans="1:16">
      <c r="C96" s="177" t="s">
        <v>1095</v>
      </c>
      <c r="D96" s="594">
        <f t="shared" ref="D96:K96" si="10">D90/D91</f>
        <v>0.12304860039633701</v>
      </c>
      <c r="E96" s="594">
        <f t="shared" si="10"/>
        <v>0.12580235588598673</v>
      </c>
      <c r="F96" s="594">
        <f t="shared" si="10"/>
        <v>0.12859361204953826</v>
      </c>
      <c r="G96" s="594">
        <f t="shared" si="10"/>
        <v>0.13142183503687713</v>
      </c>
      <c r="H96" s="594">
        <f t="shared" si="10"/>
        <v>0.13428642159049389</v>
      </c>
      <c r="I96" s="594">
        <f t="shared" si="10"/>
        <v>0.13718669562574098</v>
      </c>
      <c r="J96" s="594">
        <f t="shared" si="10"/>
        <v>0.14012190473772745</v>
      </c>
      <c r="K96" s="594">
        <f t="shared" si="10"/>
        <v>0.1430912166423047</v>
      </c>
      <c r="M96" s="22"/>
      <c r="N96" s="22"/>
      <c r="O96" s="22"/>
      <c r="P96" s="22"/>
    </row>
    <row r="97" spans="3:16">
      <c r="C97" s="175" t="s">
        <v>1052</v>
      </c>
      <c r="D97" s="182">
        <f>'B_03 Súhrn-vstupy a projekcie'!M81</f>
        <v>0.80182568238131269</v>
      </c>
      <c r="E97" s="182">
        <f>'B_03 Súhrn-vstupy a projekcie'!N81</f>
        <v>0.79187850970881368</v>
      </c>
      <c r="F97" s="182">
        <f>'B_03 Súhrn-vstupy a projekcie'!O81</f>
        <v>0.78141474085931595</v>
      </c>
      <c r="G97" s="182">
        <f>'B_03 Súhrn-vstupy a projekcie'!P81</f>
        <v>0.77043235774168783</v>
      </c>
      <c r="H97" s="182">
        <f>'B_03 Súhrn-vstupy a projekcie'!Q81</f>
        <v>0.75893185098018279</v>
      </c>
      <c r="I97" s="182">
        <f>'B_03 Súhrn-vstupy a projekcie'!R81</f>
        <v>0.7469164166326091</v>
      </c>
      <c r="J97" s="182">
        <f>'B_03 Súhrn-vstupy a projekcie'!S81</f>
        <v>0.73439213432752326</v>
      </c>
      <c r="K97" s="567">
        <f>'B_03 Súhrn-vstupy a projekcie'!T81</f>
        <v>0.72136812136267847</v>
      </c>
      <c r="M97" s="22"/>
      <c r="N97" s="22"/>
      <c r="O97" s="22"/>
      <c r="P97" s="22"/>
    </row>
    <row r="98" spans="3:16">
      <c r="C98" s="175" t="s">
        <v>1053</v>
      </c>
      <c r="D98" s="182">
        <f>'B_03 Súhrn-vstupy a projekcie'!M87</f>
        <v>0.62243190112542568</v>
      </c>
      <c r="E98" s="182">
        <f>'B_03 Súhrn-vstupy a projekcie'!N87</f>
        <v>0.62457025081018236</v>
      </c>
      <c r="F98" s="182">
        <f>'B_03 Súhrn-vstupy a projekcie'!O87</f>
        <v>0.62663063930515095</v>
      </c>
      <c r="G98" s="182">
        <f>'B_03 Súhrn-vstupy a projekcie'!P87</f>
        <v>0.62861164209583953</v>
      </c>
      <c r="H98" s="182">
        <f>'B_03 Súhrn-vstupy a projekcie'!Q87</f>
        <v>0.63051187132676645</v>
      </c>
      <c r="I98" s="182">
        <f>'B_03 Súhrn-vstupy a projekcie'!R87</f>
        <v>0.63232997786011336</v>
      </c>
      <c r="J98" s="182">
        <f>'B_03 Súhrn-vstupy a projekcie'!S87</f>
        <v>0.63406465330859785</v>
      </c>
      <c r="K98" s="567">
        <f>'B_03 Súhrn-vstupy a projekcie'!T87</f>
        <v>0.63571463203743428</v>
      </c>
      <c r="M98" s="22"/>
      <c r="N98" s="22"/>
      <c r="O98" s="22"/>
      <c r="P98" s="22"/>
    </row>
    <row r="99" spans="3:16">
      <c r="C99" s="175" t="s">
        <v>1182</v>
      </c>
      <c r="D99" s="182">
        <f>'B_03 Súhrn-vstupy a projekcie'!M8</f>
        <v>0.2222313603092827</v>
      </c>
      <c r="E99" s="182">
        <f>'B_03 Súhrn-vstupy a projekcie'!N8</f>
        <v>0.22021055071373657</v>
      </c>
      <c r="F99" s="182">
        <f>'B_03 Súhrn-vstupy a projekcie'!O8</f>
        <v>0.21820811688394989</v>
      </c>
      <c r="G99" s="182">
        <f>'B_03 Súhrn-vstupy a projekcie'!P8</f>
        <v>0.21622389172413695</v>
      </c>
      <c r="H99" s="182">
        <f>'B_03 Súhrn-vstupy a projekcie'!Q8</f>
        <v>0.2142577096579589</v>
      </c>
      <c r="I99" s="182">
        <f>'B_03 Súhrn-vstupy a projekcie'!R8</f>
        <v>0.21230940661470721</v>
      </c>
      <c r="J99" s="182">
        <f>'B_03 Súhrn-vstupy a projekcie'!S8</f>
        <v>0.21037882001561242</v>
      </c>
      <c r="K99" s="567">
        <f>'B_03 Súhrn-vstupy a projekcie'!T8</f>
        <v>0.20846578876027766</v>
      </c>
      <c r="M99" s="22"/>
      <c r="N99" s="22"/>
      <c r="O99" s="22"/>
      <c r="P99" s="22"/>
    </row>
    <row r="100" spans="3:16">
      <c r="C100" s="175" t="s">
        <v>1183</v>
      </c>
      <c r="D100" s="182">
        <f>D99</f>
        <v>0.2222313603092827</v>
      </c>
      <c r="E100" s="182">
        <f t="shared" ref="E100:K100" si="11">E99</f>
        <v>0.22021055071373657</v>
      </c>
      <c r="F100" s="182">
        <f t="shared" si="11"/>
        <v>0.21820811688394989</v>
      </c>
      <c r="G100" s="182">
        <f t="shared" si="11"/>
        <v>0.21622389172413695</v>
      </c>
      <c r="H100" s="182">
        <f t="shared" si="11"/>
        <v>0.2142577096579589</v>
      </c>
      <c r="I100" s="182">
        <f t="shared" si="11"/>
        <v>0.21230940661470721</v>
      </c>
      <c r="J100" s="182">
        <f t="shared" si="11"/>
        <v>0.21037882001561242</v>
      </c>
      <c r="K100" s="182">
        <f t="shared" si="11"/>
        <v>0.20846578876027766</v>
      </c>
      <c r="M100" s="22"/>
      <c r="N100" s="22"/>
      <c r="O100" s="22"/>
      <c r="P100" s="22"/>
    </row>
    <row r="101" spans="3:16">
      <c r="C101" s="175" t="s">
        <v>1054</v>
      </c>
      <c r="D101" s="182">
        <f>'B_03 Súhrn-vstupy a projekcie'!M117</f>
        <v>1.5390802789251747</v>
      </c>
      <c r="E101" s="182">
        <f>'B_03 Súhrn-vstupy a projekcie'!N117</f>
        <v>1.5550727131171194</v>
      </c>
      <c r="F101" s="182">
        <f>'B_03 Súhrn-vstupy a projekcie'!O117</f>
        <v>1.5712313231446495</v>
      </c>
      <c r="G101" s="182">
        <f>'B_03 Súhrn-vstupy a projekcie'!P117</f>
        <v>1.5875578357247864</v>
      </c>
      <c r="H101" s="182">
        <f>'B_03 Súhrn-vstupy a projekcie'!Q117</f>
        <v>1.604053995516701</v>
      </c>
      <c r="I101" s="182">
        <f>'B_03 Súhrn-vstupy a projekcie'!R117</f>
        <v>1.6207215653081488</v>
      </c>
      <c r="J101" s="182">
        <f>'B_03 Súhrn-vstupy a projekcie'!S117</f>
        <v>1.6375623262038421</v>
      </c>
      <c r="K101" s="567">
        <f>'B_03 Súhrn-vstupy a projekcie'!T117</f>
        <v>1.6545780778157797</v>
      </c>
      <c r="M101" s="22"/>
      <c r="N101" s="22"/>
      <c r="O101" s="22"/>
      <c r="P101" s="22"/>
    </row>
    <row r="102" spans="3:16">
      <c r="C102" s="177" t="s">
        <v>1067</v>
      </c>
      <c r="D102" s="564">
        <f>'B_03 Súhrn-vstupy a projekcie'!M79/2</f>
        <v>520438405.89109445</v>
      </c>
      <c r="E102" s="564">
        <f>'B_03 Súhrn-vstupy a projekcie'!N79</f>
        <v>1044296458.7491119</v>
      </c>
      <c r="F102" s="564">
        <f>'B_03 Súhrn-vstupy a projekcie'!O79</f>
        <v>1047867689.3440495</v>
      </c>
      <c r="G102" s="564">
        <f>'B_03 Súhrn-vstupy a projekcie'!P79</f>
        <v>1051591258.6321607</v>
      </c>
      <c r="H102" s="564">
        <f>'B_03 Súhrn-vstupy a projekcie'!Q79</f>
        <v>1055467953.0888765</v>
      </c>
      <c r="I102" s="564">
        <f>'B_03 Súhrn-vstupy a projekcie'!R79</f>
        <v>1059498590.8060422</v>
      </c>
      <c r="J102" s="564">
        <f>'B_03 Súhrn-vstupy a projekcie'!S79</f>
        <v>1063684021.7047787</v>
      </c>
      <c r="K102" s="568">
        <f>'B_03 Súhrn-vstupy a projekcie'!T79</f>
        <v>1068025127.7551214</v>
      </c>
      <c r="M102" s="22"/>
      <c r="N102" s="22"/>
      <c r="O102" s="22"/>
      <c r="P102" s="22"/>
    </row>
    <row r="103" spans="3:16">
      <c r="C103" s="177" t="s">
        <v>1068</v>
      </c>
      <c r="D103" s="564">
        <f>'B_03 Súhrn-vstupy a projekcie'!M85/2</f>
        <v>598243431.43921614</v>
      </c>
      <c r="E103" s="564">
        <f>'B_03 Súhrn-vstupy a projekcie'!N85</f>
        <v>1222599653.7715333</v>
      </c>
      <c r="F103" s="564">
        <f>'B_03 Súhrn-vstupy a projekcie'!O85</f>
        <v>1249844967.6327956</v>
      </c>
      <c r="G103" s="564">
        <f>'B_03 Súhrn-vstupy a projekcie'!P85</f>
        <v>1278289978.2197256</v>
      </c>
      <c r="H103" s="564">
        <f>'B_03 Súhrn-vstupy a projekcie'!Q85</f>
        <v>1308006218.2176037</v>
      </c>
      <c r="I103" s="564">
        <f>'B_03 Súhrn-vstupy a projekcie'!R85</f>
        <v>1339069868.2658756</v>
      </c>
      <c r="J103" s="564">
        <f>'B_03 Súhrn-vstupy a projekcie'!S85</f>
        <v>1371562065.2442148</v>
      </c>
      <c r="K103" s="568">
        <f>'B_03 Súhrn-vstupy a projekcie'!T85</f>
        <v>1405569231.1030936</v>
      </c>
      <c r="M103" s="22"/>
      <c r="N103" s="22"/>
      <c r="O103" s="22"/>
      <c r="P103" s="22"/>
    </row>
    <row r="104" spans="3:16">
      <c r="C104" s="177" t="s">
        <v>1069</v>
      </c>
      <c r="D104" s="564">
        <f>'B_03 Súhrn-vstupy a projekcie'!M17/2</f>
        <v>383509784.52707195</v>
      </c>
      <c r="E104" s="564">
        <f>'B_03 Súhrn-vstupy a projekcie'!N17</f>
        <v>785148512.25683236</v>
      </c>
      <c r="F104" s="564">
        <f>'B_03 Súhrn-vstupy a projekcie'!O17</f>
        <v>803721133.10510015</v>
      </c>
      <c r="G104" s="564">
        <f>'B_03 Súhrn-vstupy a projekcie'!P17</f>
        <v>822747619.26345026</v>
      </c>
      <c r="H104" s="564">
        <f>'B_03 Súhrn-vstupy a projekcie'!Q17</f>
        <v>842238343.82773662</v>
      </c>
      <c r="I104" s="564">
        <f>'B_03 Súhrn-vstupy a projekcie'!R17</f>
        <v>862203866.85402739</v>
      </c>
      <c r="J104" s="564">
        <f>'B_03 Súhrn-vstupy a projekcie'!S17</f>
        <v>882654936.85553956</v>
      </c>
      <c r="K104" s="568">
        <f>'B_03 Súhrn-vstupy a projekcie'!T17</f>
        <v>903602492.26810479</v>
      </c>
      <c r="M104" s="22"/>
      <c r="N104" s="22"/>
      <c r="O104" s="22"/>
      <c r="P104" s="22"/>
    </row>
    <row r="105" spans="3:16">
      <c r="C105" s="177" t="s">
        <v>1070</v>
      </c>
      <c r="D105" s="564">
        <f>'B_03 Súhrn-vstupy a projekcie'!M21/2</f>
        <v>489010134.69302613</v>
      </c>
      <c r="E105" s="564">
        <f>'B_03 Súhrn-vstupy a projekcie'!N21</f>
        <v>989662976.7060194</v>
      </c>
      <c r="F105" s="564">
        <f>'B_03 Súhrn-vstupy a projekcie'!O21</f>
        <v>1001369932.420442</v>
      </c>
      <c r="G105" s="564">
        <f>'B_03 Súhrn-vstupy a projekcie'!P21</f>
        <v>1013139614.4529747</v>
      </c>
      <c r="H105" s="564">
        <f>'B_03 Súhrn-vstupy a projekcie'!Q21</f>
        <v>1024970463.1371621</v>
      </c>
      <c r="I105" s="564">
        <f>'B_03 Súhrn-vstupy a projekcie'!R21</f>
        <v>1036860882.2098626</v>
      </c>
      <c r="J105" s="564">
        <f>'B_03 Súhrn-vstupy a projekcie'!S21</f>
        <v>1048809239.8796185</v>
      </c>
      <c r="K105" s="568">
        <f>'B_03 Súhrn-vstupy a projekcie'!T21</f>
        <v>1060813869.9702716</v>
      </c>
      <c r="M105" s="22"/>
      <c r="N105" s="22"/>
      <c r="O105" s="22"/>
      <c r="P105" s="22"/>
    </row>
    <row r="106" spans="3:16">
      <c r="C106" s="177" t="s">
        <v>1071</v>
      </c>
      <c r="D106" s="564">
        <f>'B_03 Súhrn-vstupy a projekcie'!M115/2</f>
        <v>1877306477.8638246</v>
      </c>
      <c r="E106" s="564">
        <f>'B_03 Súhrn-vstupy a projekcie'!N115</f>
        <v>3862030537.1712232</v>
      </c>
      <c r="F106" s="564">
        <f>'B_03 Súhrn-vstupy a projekcie'!O115</f>
        <v>3972521281.3986158</v>
      </c>
      <c r="G106" s="564">
        <f>'B_03 Súhrn-vstupy a projekcie'!P115</f>
        <v>4086173110.0458293</v>
      </c>
      <c r="H106" s="564">
        <f>'B_03 Súhrn-vstupy a projekcie'!Q115</f>
        <v>4203076460.1424904</v>
      </c>
      <c r="I106" s="564">
        <f>'B_03 Súhrn-vstupy a projekcie'!R115</f>
        <v>4323324356.0759945</v>
      </c>
      <c r="J106" s="564">
        <f>'B_03 Súhrn-vstupy a projekcie'!S115</f>
        <v>4447012483.6145039</v>
      </c>
      <c r="K106" s="568">
        <f>'B_03 Súhrn-vstupy a projekcie'!T115</f>
        <v>4574239266.0477076</v>
      </c>
      <c r="M106" s="22"/>
      <c r="N106" s="22"/>
      <c r="O106" s="22"/>
      <c r="P106" s="22"/>
    </row>
    <row r="107" spans="3:16">
      <c r="C107" s="177" t="s">
        <v>1072</v>
      </c>
      <c r="D107" s="564">
        <f>SUM(D102:D106)</f>
        <v>3868508234.4142332</v>
      </c>
      <c r="E107" s="564">
        <f t="shared" ref="E107:K107" si="12">SUM(E102:E106)</f>
        <v>7903738138.6547203</v>
      </c>
      <c r="F107" s="564">
        <f t="shared" si="12"/>
        <v>8075325003.9010029</v>
      </c>
      <c r="G107" s="564">
        <f t="shared" si="12"/>
        <v>8251941580.6141405</v>
      </c>
      <c r="H107" s="564">
        <f t="shared" si="12"/>
        <v>8433759438.4138699</v>
      </c>
      <c r="I107" s="564">
        <f t="shared" si="12"/>
        <v>8620957564.2118015</v>
      </c>
      <c r="J107" s="564">
        <f t="shared" si="12"/>
        <v>8813722747.2986565</v>
      </c>
      <c r="K107" s="568">
        <f t="shared" si="12"/>
        <v>9012249987.1442986</v>
      </c>
      <c r="M107" s="22"/>
      <c r="N107" s="22"/>
      <c r="O107" s="22"/>
      <c r="P107" s="22"/>
    </row>
    <row r="108" spans="3:16">
      <c r="C108" s="177" t="s">
        <v>1073</v>
      </c>
      <c r="D108" s="564">
        <f>'B_03 Súhrn-vstupy a projekcie'!M123/2</f>
        <v>15022989423.151211</v>
      </c>
      <c r="E108" s="564">
        <f>'B_03 Súhrn-vstupy a projekcie'!N123</f>
        <v>30256013431.076607</v>
      </c>
      <c r="F108" s="564">
        <f>'B_03 Súhrn-vstupy a projekcie'!O123</f>
        <v>30467516249.820698</v>
      </c>
      <c r="G108" s="564">
        <f>'B_03 Súhrn-vstupy a projekcie'!P123</f>
        <v>30680497566.134819</v>
      </c>
      <c r="H108" s="564">
        <f>'B_03 Súhrn-vstupy a projekcie'!Q123</f>
        <v>30894967715.366169</v>
      </c>
      <c r="I108" s="564">
        <f>'B_03 Súhrn-vstupy a projekcie'!R123</f>
        <v>31110937105.110558</v>
      </c>
      <c r="J108" s="564">
        <f>'B_03 Súhrn-vstupy a projekcie'!S123</f>
        <v>31328416215.717461</v>
      </c>
      <c r="K108" s="568">
        <f>'B_03 Súhrn-vstupy a projekcie'!T123</f>
        <v>31547415600.798595</v>
      </c>
      <c r="M108" s="22"/>
      <c r="N108" s="22"/>
      <c r="O108" s="22"/>
      <c r="P108" s="22"/>
    </row>
    <row r="109" spans="3:16">
      <c r="C109" s="177" t="s">
        <v>1067</v>
      </c>
      <c r="D109" s="736">
        <f>D102/D$107</f>
        <v>0.1345320662009393</v>
      </c>
      <c r="E109" s="736">
        <f t="shared" ref="E109:K109" si="13">E102/E$107</f>
        <v>0.13212690507062516</v>
      </c>
      <c r="F109" s="736">
        <f t="shared" si="13"/>
        <v>0.12976167384443954</v>
      </c>
      <c r="G109" s="736">
        <f t="shared" si="13"/>
        <v>0.12743561601340098</v>
      </c>
      <c r="H109" s="736">
        <f t="shared" si="13"/>
        <v>0.12514797947419015</v>
      </c>
      <c r="I109" s="736">
        <f t="shared" si="13"/>
        <v>0.12289801717669285</v>
      </c>
      <c r="J109" s="736">
        <f t="shared" si="13"/>
        <v>0.12068498774037228</v>
      </c>
      <c r="K109" s="736">
        <f t="shared" si="13"/>
        <v>0.1185081560407919</v>
      </c>
      <c r="M109" s="22"/>
      <c r="N109" s="22"/>
      <c r="O109" s="22"/>
      <c r="P109" s="22"/>
    </row>
    <row r="110" spans="3:16">
      <c r="C110" s="177" t="s">
        <v>1068</v>
      </c>
      <c r="D110" s="736">
        <f t="shared" ref="D110:K113" si="14">D103/D$107</f>
        <v>0.1546444766789547</v>
      </c>
      <c r="E110" s="736">
        <f t="shared" si="14"/>
        <v>0.15468625507621253</v>
      </c>
      <c r="F110" s="736">
        <f t="shared" si="14"/>
        <v>0.1547733332130935</v>
      </c>
      <c r="G110" s="736">
        <f t="shared" si="14"/>
        <v>0.15490778330553698</v>
      </c>
      <c r="H110" s="736">
        <f t="shared" si="14"/>
        <v>0.15509171535767677</v>
      </c>
      <c r="I110" s="736">
        <f t="shared" si="14"/>
        <v>0.15532727754336234</v>
      </c>
      <c r="J110" s="736">
        <f t="shared" si="14"/>
        <v>0.15561665649904732</v>
      </c>
      <c r="K110" s="736">
        <f t="shared" si="14"/>
        <v>0.15596207751761165</v>
      </c>
      <c r="M110" s="22"/>
      <c r="N110" s="22"/>
      <c r="O110" s="22"/>
      <c r="P110" s="22"/>
    </row>
    <row r="111" spans="3:16">
      <c r="C111" s="177" t="s">
        <v>1069</v>
      </c>
      <c r="D111" s="736">
        <f t="shared" si="14"/>
        <v>9.9136349540468988E-2</v>
      </c>
      <c r="E111" s="736">
        <f t="shared" si="14"/>
        <v>9.9338882245720628E-2</v>
      </c>
      <c r="F111" s="736">
        <f t="shared" si="14"/>
        <v>9.95280230475976E-2</v>
      </c>
      <c r="G111" s="736">
        <f t="shared" si="14"/>
        <v>9.9703519617284825E-2</v>
      </c>
      <c r="H111" s="736">
        <f t="shared" si="14"/>
        <v>9.9865113533062266E-2</v>
      </c>
      <c r="I111" s="736">
        <f t="shared" si="14"/>
        <v>0.100012540420486</v>
      </c>
      <c r="J111" s="736">
        <f t="shared" si="14"/>
        <v>0.10014553011961569</v>
      </c>
      <c r="K111" s="736">
        <f t="shared" si="14"/>
        <v>0.10026380688030917</v>
      </c>
      <c r="M111" s="22"/>
      <c r="N111" s="22"/>
      <c r="O111" s="22"/>
      <c r="P111" s="22"/>
    </row>
    <row r="112" spans="3:16">
      <c r="C112" s="177" t="s">
        <v>1070</v>
      </c>
      <c r="D112" s="736">
        <f t="shared" si="14"/>
        <v>0.12640793428919034</v>
      </c>
      <c r="E112" s="736">
        <f t="shared" si="14"/>
        <v>0.12521454523725756</v>
      </c>
      <c r="F112" s="736">
        <f t="shared" si="14"/>
        <v>0.1240036694419981</v>
      </c>
      <c r="G112" s="736">
        <f t="shared" si="14"/>
        <v>0.12277590728866661</v>
      </c>
      <c r="H112" s="736">
        <f t="shared" si="14"/>
        <v>0.12153185902702572</v>
      </c>
      <c r="I112" s="736">
        <f t="shared" si="14"/>
        <v>0.12027212458557797</v>
      </c>
      <c r="J112" s="736">
        <f t="shared" si="14"/>
        <v>0.11899730340406625</v>
      </c>
      <c r="K112" s="736">
        <f t="shared" si="14"/>
        <v>0.11770799428372386</v>
      </c>
      <c r="M112" s="22"/>
      <c r="N112" s="22"/>
      <c r="O112" s="22"/>
      <c r="P112" s="22"/>
    </row>
    <row r="113" spans="3:16">
      <c r="C113" s="177" t="s">
        <v>1071</v>
      </c>
      <c r="D113" s="736">
        <f t="shared" si="14"/>
        <v>0.48527917329044667</v>
      </c>
      <c r="E113" s="736">
        <f t="shared" si="14"/>
        <v>0.48863341237018409</v>
      </c>
      <c r="F113" s="736">
        <f t="shared" si="14"/>
        <v>0.49193330045287126</v>
      </c>
      <c r="G113" s="736">
        <f t="shared" si="14"/>
        <v>0.49517717377511061</v>
      </c>
      <c r="H113" s="736">
        <f t="shared" si="14"/>
        <v>0.498363332608045</v>
      </c>
      <c r="I113" s="736">
        <f t="shared" si="14"/>
        <v>0.50149004027388089</v>
      </c>
      <c r="J113" s="736">
        <f t="shared" si="14"/>
        <v>0.50455552223689837</v>
      </c>
      <c r="K113" s="736">
        <f t="shared" si="14"/>
        <v>0.50755796527756347</v>
      </c>
      <c r="M113" s="22"/>
      <c r="N113" s="22"/>
      <c r="O113" s="22"/>
      <c r="P113" s="22"/>
    </row>
    <row r="114" spans="3:16">
      <c r="C114" s="177" t="s">
        <v>1064</v>
      </c>
      <c r="D114" s="565">
        <f>'B_03 Súhrn-vstupy a projekcie'!M82</f>
        <v>19.977869889183999</v>
      </c>
      <c r="E114" s="565">
        <f>'B_03 Súhrn-vstupy a projekcie'!N82</f>
        <v>20.101480036260057</v>
      </c>
      <c r="F114" s="565">
        <f>'B_03 Súhrn-vstupy a projekcie'!O82</f>
        <v>20.212010248431852</v>
      </c>
      <c r="G114" s="565">
        <f>'B_03 Súhrn-vstupy a projekcie'!P82</f>
        <v>20.308541335720413</v>
      </c>
      <c r="H114" s="565">
        <f>'B_03 Súhrn-vstupy a projekcie'!Q82</f>
        <v>20.390171040585685</v>
      </c>
      <c r="I114" s="565">
        <f>'B_03 Súhrn-vstupy a projekcie'!R82</f>
        <v>20.456023519590271</v>
      </c>
      <c r="J114" s="565">
        <f>'B_03 Súhrn-vstupy a projekcie'!S82</f>
        <v>20.505259344920812</v>
      </c>
      <c r="K114" s="569">
        <f>'B_03 Súhrn-vstupy a projekcie'!T82</f>
        <v>20.53708588680119</v>
      </c>
      <c r="M114" s="22"/>
      <c r="N114" s="22"/>
      <c r="O114" s="22"/>
      <c r="P114" s="22"/>
    </row>
    <row r="115" spans="3:16">
      <c r="C115" s="177" t="s">
        <v>1065</v>
      </c>
      <c r="D115" s="565">
        <f>'B_03 Súhrn-vstupy a projekcie'!M88</f>
        <v>16.747413450152262</v>
      </c>
      <c r="E115" s="565">
        <f>'B_03 Súhrn-vstupy a projekcie'!N88</f>
        <v>17.437704566005941</v>
      </c>
      <c r="F115" s="565">
        <f>'B_03 Súhrn-vstupy a projekcie'!O88</f>
        <v>18.162152292253094</v>
      </c>
      <c r="G115" s="565">
        <f>'B_03 Súhrn-vstupy a projekcie'!P88</f>
        <v>18.922875564669738</v>
      </c>
      <c r="H115" s="565">
        <f>'B_03 Súhrn-vstupy a projekcie'!Q88</f>
        <v>19.722147125196361</v>
      </c>
      <c r="I115" s="565">
        <f>'B_03 Súhrn-vstupy a projekcie'!R88</f>
        <v>20.562405308233174</v>
      </c>
      <c r="J115" s="565">
        <f>'B_03 Súhrn-vstupy a projekcie'!S88</f>
        <v>21.446266721898805</v>
      </c>
      <c r="K115" s="569">
        <f>'B_03 Súhrn-vstupy a projekcie'!T88</f>
        <v>22.376539889950521</v>
      </c>
      <c r="M115" s="22"/>
      <c r="N115" s="22"/>
      <c r="O115" s="22"/>
      <c r="P115" s="22"/>
    </row>
    <row r="116" spans="3:16">
      <c r="C116" s="177" t="s">
        <v>1176</v>
      </c>
      <c r="D116" s="565">
        <f>'B_03 Súhrn-vstupy a projekcie'!M9</f>
        <v>4.2956851210730784</v>
      </c>
      <c r="E116" s="565">
        <f>'B_03 Súhrn-vstupy a projekcie'!N9</f>
        <v>4.3730485161114405</v>
      </c>
      <c r="F116" s="565">
        <f>'B_03 Súhrn-vstupy a projekcie'!O9</f>
        <v>4.4518051917844783</v>
      </c>
      <c r="G116" s="565">
        <f>'B_03 Súhrn-vstupy a projekcie'!P9</f>
        <v>4.5319802404621194</v>
      </c>
      <c r="H116" s="565">
        <f>'B_03 Súhrn-vstupy a projekcie'!Q9</f>
        <v>4.6135992064168061</v>
      </c>
      <c r="I116" s="565">
        <f>'B_03 Súhrn-vstupy a projekcie'!R9</f>
        <v>4.6966880939620674</v>
      </c>
      <c r="J116" s="565">
        <f>'B_03 Súhrn-vstupy a projekcie'!S9</f>
        <v>4.7812733757376531</v>
      </c>
      <c r="K116" s="569">
        <f>'B_03 Súhrn-vstupy a projekcie'!T9</f>
        <v>4.8673820011438815</v>
      </c>
      <c r="M116" s="22"/>
      <c r="N116" s="22"/>
      <c r="O116" s="22"/>
      <c r="P116" s="22"/>
    </row>
    <row r="117" spans="3:16">
      <c r="C117" s="177" t="s">
        <v>1177</v>
      </c>
      <c r="D117" s="565">
        <f>D116</f>
        <v>4.2956851210730784</v>
      </c>
      <c r="E117" s="565">
        <f t="shared" ref="E117:K117" si="15">E116</f>
        <v>4.3730485161114405</v>
      </c>
      <c r="F117" s="565">
        <f t="shared" si="15"/>
        <v>4.4518051917844783</v>
      </c>
      <c r="G117" s="565">
        <f t="shared" si="15"/>
        <v>4.5319802404621194</v>
      </c>
      <c r="H117" s="565">
        <f t="shared" si="15"/>
        <v>4.6135992064168061</v>
      </c>
      <c r="I117" s="565">
        <f t="shared" si="15"/>
        <v>4.6966880939620674</v>
      </c>
      <c r="J117" s="565">
        <f t="shared" si="15"/>
        <v>4.7812733757376531</v>
      </c>
      <c r="K117" s="565">
        <f t="shared" si="15"/>
        <v>4.8673820011438815</v>
      </c>
      <c r="M117" s="22"/>
      <c r="N117" s="22"/>
      <c r="O117" s="22"/>
      <c r="P117" s="22"/>
    </row>
    <row r="118" spans="3:16">
      <c r="C118" s="177" t="s">
        <v>1066</v>
      </c>
      <c r="D118" s="565">
        <f>'B_03 Súhrn-vstupy a projekcie'!M118</f>
        <v>50.509399966971138</v>
      </c>
      <c r="E118" s="565">
        <f>'B_03 Súhrn-vstupy a projekcie'!N118</f>
        <v>50.836055190161524</v>
      </c>
      <c r="F118" s="565">
        <f>'B_03 Súhrn-vstupy a projekcie'!O118</f>
        <v>51.164822963390257</v>
      </c>
      <c r="G118" s="565">
        <f>'B_03 Súhrn-vstupy a projekcie'!P118</f>
        <v>51.495716948975748</v>
      </c>
      <c r="H118" s="565">
        <f>'B_03 Súhrn-vstupy a projekcie'!Q118</f>
        <v>51.828750897593544</v>
      </c>
      <c r="I118" s="565">
        <f>'B_03 Súhrn-vstupy a projekcie'!R118</f>
        <v>52.163938648847825</v>
      </c>
      <c r="J118" s="565">
        <f>'B_03 Súhrn-vstupy a projekcie'!S118</f>
        <v>52.501294131846457</v>
      </c>
      <c r="K118" s="569">
        <f>'B_03 Súhrn-vstupy a projekcie'!T118</f>
        <v>52.840831365779877</v>
      </c>
      <c r="M118" s="22"/>
      <c r="N118" s="22"/>
      <c r="O118" s="22"/>
      <c r="P118" s="22"/>
    </row>
    <row r="119" spans="3:16">
      <c r="C119" s="177" t="s">
        <v>1173</v>
      </c>
      <c r="D119" s="736">
        <f>D114/(D$114+D$115+D$116+D$117+D$118)</f>
        <v>0.20848056608198284</v>
      </c>
      <c r="E119" s="736">
        <f t="shared" ref="E119:K119" si="16">E114/(E$114+E$115+E$116+E$117+E$118)</f>
        <v>0.20697285162530932</v>
      </c>
      <c r="F119" s="736">
        <f t="shared" si="16"/>
        <v>0.20531772924294375</v>
      </c>
      <c r="G119" s="736">
        <f t="shared" si="16"/>
        <v>0.20351055845226912</v>
      </c>
      <c r="H119" s="736">
        <f t="shared" si="16"/>
        <v>0.20154710117360319</v>
      </c>
      <c r="I119" s="736">
        <f t="shared" si="16"/>
        <v>0.19942359459247855</v>
      </c>
      <c r="J119" s="736">
        <f t="shared" si="16"/>
        <v>0.1971368264724748</v>
      </c>
      <c r="K119" s="736">
        <f t="shared" si="16"/>
        <v>0.1946842119405465</v>
      </c>
      <c r="M119" s="22"/>
      <c r="N119" s="22"/>
      <c r="O119" s="22"/>
      <c r="P119" s="22"/>
    </row>
    <row r="120" spans="3:16">
      <c r="C120" s="177" t="s">
        <v>1174</v>
      </c>
      <c r="D120" s="736">
        <f t="shared" ref="D120:K123" si="17">D115/(D$114+D$115+D$116+D$117+D$118)</f>
        <v>0.17476889457504463</v>
      </c>
      <c r="E120" s="736">
        <f t="shared" si="17"/>
        <v>0.17954555750698925</v>
      </c>
      <c r="F120" s="736">
        <f t="shared" si="17"/>
        <v>0.1844948533557787</v>
      </c>
      <c r="G120" s="736">
        <f t="shared" si="17"/>
        <v>0.1896248927989356</v>
      </c>
      <c r="H120" s="736">
        <f t="shared" si="17"/>
        <v>0.19494400385806979</v>
      </c>
      <c r="I120" s="736">
        <f t="shared" si="17"/>
        <v>0.20046069931960345</v>
      </c>
      <c r="J120" s="736">
        <f t="shared" si="17"/>
        <v>0.20618363757903999</v>
      </c>
      <c r="K120" s="736">
        <f t="shared" si="17"/>
        <v>0.21212157647112792</v>
      </c>
      <c r="M120" s="22"/>
      <c r="N120" s="22"/>
      <c r="O120" s="22"/>
      <c r="P120" s="22"/>
    </row>
    <row r="121" spans="3:16">
      <c r="C121" s="177" t="s">
        <v>1178</v>
      </c>
      <c r="D121" s="736">
        <f t="shared" si="17"/>
        <v>4.4827945657816379E-2</v>
      </c>
      <c r="E121" s="736">
        <f t="shared" si="17"/>
        <v>4.5026650776099242E-2</v>
      </c>
      <c r="F121" s="736">
        <f t="shared" si="17"/>
        <v>4.5222346603552316E-2</v>
      </c>
      <c r="G121" s="736">
        <f t="shared" si="17"/>
        <v>4.5414676238163094E-2</v>
      </c>
      <c r="H121" s="736">
        <f t="shared" si="17"/>
        <v>4.560322442510685E-2</v>
      </c>
      <c r="I121" s="736">
        <f t="shared" si="17"/>
        <v>4.5787512000102185E-2</v>
      </c>
      <c r="J121" s="736">
        <f t="shared" si="17"/>
        <v>4.5966990416228627E-2</v>
      </c>
      <c r="K121" s="736">
        <f t="shared" si="17"/>
        <v>4.6141036480511752E-2</v>
      </c>
      <c r="M121" s="22"/>
      <c r="N121" s="22"/>
      <c r="O121" s="22"/>
      <c r="P121" s="22"/>
    </row>
    <row r="122" spans="3:16">
      <c r="C122" s="177" t="s">
        <v>1179</v>
      </c>
      <c r="D122" s="736">
        <f t="shared" si="17"/>
        <v>4.4827945657816379E-2</v>
      </c>
      <c r="E122" s="736">
        <f t="shared" si="17"/>
        <v>4.5026650776099242E-2</v>
      </c>
      <c r="F122" s="736">
        <f t="shared" si="17"/>
        <v>4.5222346603552316E-2</v>
      </c>
      <c r="G122" s="736">
        <f t="shared" si="17"/>
        <v>4.5414676238163094E-2</v>
      </c>
      <c r="H122" s="736">
        <f t="shared" si="17"/>
        <v>4.560322442510685E-2</v>
      </c>
      <c r="I122" s="736">
        <f t="shared" si="17"/>
        <v>4.5787512000102185E-2</v>
      </c>
      <c r="J122" s="736">
        <f t="shared" si="17"/>
        <v>4.5966990416228627E-2</v>
      </c>
      <c r="K122" s="736">
        <f t="shared" si="17"/>
        <v>4.6141036480511752E-2</v>
      </c>
      <c r="M122" s="22"/>
      <c r="N122" s="22"/>
      <c r="O122" s="22"/>
      <c r="P122" s="22"/>
    </row>
    <row r="123" spans="3:16">
      <c r="C123" s="177" t="s">
        <v>1175</v>
      </c>
      <c r="D123" s="736">
        <f t="shared" si="17"/>
        <v>0.52709464802733974</v>
      </c>
      <c r="E123" s="736">
        <f t="shared" si="17"/>
        <v>0.523428289315503</v>
      </c>
      <c r="F123" s="736">
        <f t="shared" si="17"/>
        <v>0.51974272419417289</v>
      </c>
      <c r="G123" s="736">
        <f t="shared" si="17"/>
        <v>0.51603519627246908</v>
      </c>
      <c r="H123" s="736">
        <f t="shared" si="17"/>
        <v>0.51230244611811337</v>
      </c>
      <c r="I123" s="736">
        <f t="shared" si="17"/>
        <v>0.50854068208771375</v>
      </c>
      <c r="J123" s="736">
        <f t="shared" si="17"/>
        <v>0.50474555511602792</v>
      </c>
      <c r="K123" s="736">
        <f t="shared" si="17"/>
        <v>0.50091213862730211</v>
      </c>
      <c r="M123" s="22"/>
      <c r="N123" s="22"/>
      <c r="O123" s="22"/>
      <c r="P123" s="22"/>
    </row>
    <row r="124" spans="3:16">
      <c r="C124" s="177" t="s">
        <v>1055</v>
      </c>
      <c r="D124" s="566">
        <f t="shared" ref="D124:K126" si="18">D86*D97</f>
        <v>20888156.858354338</v>
      </c>
      <c r="E124" s="566">
        <f t="shared" si="18"/>
        <v>41139056.525028698</v>
      </c>
      <c r="F124" s="566">
        <f t="shared" si="18"/>
        <v>40511520.074415095</v>
      </c>
      <c r="G124" s="566">
        <f t="shared" si="18"/>
        <v>39893556.084380627</v>
      </c>
      <c r="H124" s="566">
        <f t="shared" si="18"/>
        <v>39285018.536313228</v>
      </c>
      <c r="I124" s="566">
        <f t="shared" si="18"/>
        <v>38685763.638973303</v>
      </c>
      <c r="J124" s="566">
        <f t="shared" si="18"/>
        <v>38095649.794517279</v>
      </c>
      <c r="K124" s="570">
        <f t="shared" si="18"/>
        <v>37514537.565039538</v>
      </c>
    </row>
    <row r="125" spans="3:16">
      <c r="C125" s="177" t="s">
        <v>1056</v>
      </c>
      <c r="D125" s="566">
        <f t="shared" si="18"/>
        <v>22234227.242005788</v>
      </c>
      <c r="E125" s="566">
        <f t="shared" si="18"/>
        <v>43790131.293148123</v>
      </c>
      <c r="F125" s="566">
        <f t="shared" si="18"/>
        <v>43122155.265382707</v>
      </c>
      <c r="G125" s="566">
        <f t="shared" si="18"/>
        <v>42464368.564766861</v>
      </c>
      <c r="H125" s="566">
        <f t="shared" si="18"/>
        <v>41816615.76298666</v>
      </c>
      <c r="I125" s="566">
        <f t="shared" si="18"/>
        <v>41178743.802636467</v>
      </c>
      <c r="J125" s="566">
        <f t="shared" si="18"/>
        <v>40550601.961053103</v>
      </c>
      <c r="K125" s="570">
        <f t="shared" si="18"/>
        <v>39932041.814701602</v>
      </c>
    </row>
    <row r="126" spans="3:16">
      <c r="C126" s="177" t="s">
        <v>1057</v>
      </c>
      <c r="D126" s="566">
        <f t="shared" si="18"/>
        <v>19840351.121006012</v>
      </c>
      <c r="E126" s="566">
        <f t="shared" si="18"/>
        <v>39537175.414164096</v>
      </c>
      <c r="F126" s="566">
        <f t="shared" si="18"/>
        <v>39394912.265781105</v>
      </c>
      <c r="G126" s="566">
        <f t="shared" si="18"/>
        <v>39253854.3208149</v>
      </c>
      <c r="H126" s="566">
        <f t="shared" si="18"/>
        <v>39113943.466016024</v>
      </c>
      <c r="I126" s="566">
        <f t="shared" si="18"/>
        <v>38975121.977551319</v>
      </c>
      <c r="J126" s="566">
        <f t="shared" si="18"/>
        <v>38837332.548042148</v>
      </c>
      <c r="K126" s="570">
        <f t="shared" si="18"/>
        <v>38700518.313983642</v>
      </c>
    </row>
    <row r="127" spans="3:16">
      <c r="C127" s="177" t="s">
        <v>1059</v>
      </c>
      <c r="D127" s="566">
        <f t="shared" ref="D127:K127" si="19">D89*D99</f>
        <v>25298266.603560951</v>
      </c>
      <c r="E127" s="566">
        <f t="shared" si="19"/>
        <v>49835767.501435757</v>
      </c>
      <c r="F127" s="566">
        <f t="shared" si="19"/>
        <v>49082796.269008711</v>
      </c>
      <c r="G127" s="566">
        <f t="shared" si="19"/>
        <v>48337587.251831472</v>
      </c>
      <c r="H127" s="566">
        <f t="shared" si="19"/>
        <v>47600108.737964295</v>
      </c>
      <c r="I127" s="566">
        <f t="shared" si="19"/>
        <v>46870329.525815785</v>
      </c>
      <c r="J127" s="566">
        <f t="shared" si="19"/>
        <v>46148218.888091534</v>
      </c>
      <c r="K127" s="570">
        <f t="shared" si="19"/>
        <v>45433746.535452619</v>
      </c>
    </row>
    <row r="128" spans="3:16">
      <c r="C128" s="177" t="s">
        <v>1058</v>
      </c>
      <c r="D128" s="566">
        <f t="shared" ref="D128:K128" si="20">D90*D101</f>
        <v>57203716.129434638</v>
      </c>
      <c r="E128" s="566">
        <f t="shared" si="20"/>
        <v>118139345.84645607</v>
      </c>
      <c r="F128" s="566">
        <f t="shared" si="20"/>
        <v>121992992.60076317</v>
      </c>
      <c r="G128" s="566">
        <f t="shared" si="20"/>
        <v>125972343.39719595</v>
      </c>
      <c r="H128" s="566">
        <f t="shared" si="20"/>
        <v>130081498.63914219</v>
      </c>
      <c r="I128" s="566">
        <f t="shared" si="20"/>
        <v>134324692.48311058</v>
      </c>
      <c r="J128" s="566">
        <f t="shared" si="20"/>
        <v>138706297.20169103</v>
      </c>
      <c r="K128" s="570">
        <f t="shared" si="20"/>
        <v>143230827.68883261</v>
      </c>
    </row>
    <row r="129" spans="3:16">
      <c r="C129" s="577" t="s">
        <v>1061</v>
      </c>
      <c r="D129" s="381">
        <f t="shared" ref="D129:K129" si="21">SUM(D124:D128)</f>
        <v>145464717.95436174</v>
      </c>
      <c r="E129" s="381">
        <f t="shared" si="21"/>
        <v>292441476.58023274</v>
      </c>
      <c r="F129" s="381">
        <f t="shared" si="21"/>
        <v>294104376.47535074</v>
      </c>
      <c r="G129" s="381">
        <f t="shared" si="21"/>
        <v>295921709.61898983</v>
      </c>
      <c r="H129" s="381">
        <f t="shared" si="21"/>
        <v>297897185.14242244</v>
      </c>
      <c r="I129" s="381">
        <f t="shared" si="21"/>
        <v>300034651.42808747</v>
      </c>
      <c r="J129" s="381">
        <f t="shared" si="21"/>
        <v>302338100.39339507</v>
      </c>
      <c r="K129" s="578">
        <f t="shared" si="21"/>
        <v>304811671.91801</v>
      </c>
      <c r="L129" s="591"/>
      <c r="M129" s="934"/>
    </row>
    <row r="130" spans="3:16">
      <c r="C130" s="942" t="s">
        <v>1359</v>
      </c>
      <c r="D130" s="564">
        <f t="shared" ref="D130:K130" si="22">D91*$F$45</f>
        <v>66452140.104641601</v>
      </c>
      <c r="E130" s="564">
        <f t="shared" si="22"/>
        <v>132854958.3462784</v>
      </c>
      <c r="F130" s="564">
        <f t="shared" si="22"/>
        <v>132830571.80974421</v>
      </c>
      <c r="G130" s="564">
        <f t="shared" si="22"/>
        <v>132831417.25386646</v>
      </c>
      <c r="H130" s="564">
        <f t="shared" si="22"/>
        <v>132857821.84137329</v>
      </c>
      <c r="I130" s="564">
        <f t="shared" si="22"/>
        <v>132910144.27220175</v>
      </c>
      <c r="J130" s="564">
        <f t="shared" si="22"/>
        <v>132988775.87980075</v>
      </c>
      <c r="K130" s="564">
        <f t="shared" si="22"/>
        <v>133094141.7983323</v>
      </c>
      <c r="L130" s="591"/>
      <c r="M130" s="934"/>
    </row>
    <row r="131" spans="3:16">
      <c r="C131" s="942" t="s">
        <v>1360</v>
      </c>
      <c r="D131" s="564">
        <f t="shared" ref="D131:K131" si="23">D130*$F$52</f>
        <v>30567984.448135138</v>
      </c>
      <c r="E131" s="564">
        <f t="shared" si="23"/>
        <v>61113280.839288063</v>
      </c>
      <c r="F131" s="564">
        <f t="shared" si="23"/>
        <v>61102063.032482341</v>
      </c>
      <c r="G131" s="564">
        <f t="shared" si="23"/>
        <v>61102451.936778575</v>
      </c>
      <c r="H131" s="564">
        <f t="shared" si="23"/>
        <v>61114598.047031716</v>
      </c>
      <c r="I131" s="564">
        <f t="shared" si="23"/>
        <v>61138666.365212806</v>
      </c>
      <c r="J131" s="564">
        <f t="shared" si="23"/>
        <v>61174836.904708348</v>
      </c>
      <c r="K131" s="564">
        <f t="shared" si="23"/>
        <v>61223305.227232866</v>
      </c>
      <c r="L131" s="591"/>
      <c r="M131" s="934"/>
    </row>
    <row r="132" spans="3:16">
      <c r="C132" s="942" t="s">
        <v>1361</v>
      </c>
      <c r="D132" s="564">
        <f t="shared" ref="D132:K132" si="24">D130*$F$53</f>
        <v>24587291.838717394</v>
      </c>
      <c r="E132" s="564">
        <f t="shared" si="24"/>
        <v>49156334.588123009</v>
      </c>
      <c r="F132" s="564">
        <f t="shared" si="24"/>
        <v>49147311.569605358</v>
      </c>
      <c r="G132" s="564">
        <f t="shared" si="24"/>
        <v>49147624.383930594</v>
      </c>
      <c r="H132" s="564">
        <f t="shared" si="24"/>
        <v>49157394.081308119</v>
      </c>
      <c r="I132" s="564">
        <f t="shared" si="24"/>
        <v>49176753.380714647</v>
      </c>
      <c r="J132" s="564">
        <f t="shared" si="24"/>
        <v>49205847.075526275</v>
      </c>
      <c r="K132" s="564">
        <f t="shared" si="24"/>
        <v>49244832.465382949</v>
      </c>
      <c r="L132" s="591"/>
      <c r="M132" s="934"/>
    </row>
    <row r="133" spans="3:16">
      <c r="C133" s="942" t="s">
        <v>1362</v>
      </c>
      <c r="D133" s="564">
        <f t="shared" ref="D133:K133" si="25">D130*$F$54</f>
        <v>8638778.213603409</v>
      </c>
      <c r="E133" s="564">
        <f t="shared" si="25"/>
        <v>17271144.585016191</v>
      </c>
      <c r="F133" s="564">
        <f t="shared" si="25"/>
        <v>17267974.335266747</v>
      </c>
      <c r="G133" s="564">
        <f t="shared" si="25"/>
        <v>17268084.243002642</v>
      </c>
      <c r="H133" s="564">
        <f t="shared" si="25"/>
        <v>17271516.839378528</v>
      </c>
      <c r="I133" s="564">
        <f t="shared" si="25"/>
        <v>17278318.755386226</v>
      </c>
      <c r="J133" s="564">
        <f t="shared" si="25"/>
        <v>17288540.864374097</v>
      </c>
      <c r="K133" s="564">
        <f t="shared" si="25"/>
        <v>17302238.4337832</v>
      </c>
      <c r="L133" s="591"/>
      <c r="M133" s="934"/>
    </row>
    <row r="134" spans="3:16">
      <c r="C134" s="942" t="s">
        <v>1363</v>
      </c>
      <c r="D134" s="564">
        <f t="shared" ref="D134:K134" si="26">D130*$F$55</f>
        <v>2658085.6041856641</v>
      </c>
      <c r="E134" s="564">
        <f t="shared" si="26"/>
        <v>5314198.3338511363</v>
      </c>
      <c r="F134" s="564">
        <f t="shared" si="26"/>
        <v>5313222.8723897683</v>
      </c>
      <c r="G134" s="564">
        <f t="shared" si="26"/>
        <v>5313256.6901546586</v>
      </c>
      <c r="H134" s="564">
        <f t="shared" si="26"/>
        <v>5314312.8736549318</v>
      </c>
      <c r="I134" s="564">
        <f t="shared" si="26"/>
        <v>5316405.7708880696</v>
      </c>
      <c r="J134" s="564">
        <f t="shared" si="26"/>
        <v>5319551.0351920305</v>
      </c>
      <c r="K134" s="564">
        <f t="shared" si="26"/>
        <v>5323765.6719332924</v>
      </c>
      <c r="L134" s="591"/>
      <c r="M134" s="934"/>
    </row>
    <row r="135" spans="3:16">
      <c r="C135" s="942" t="s">
        <v>1365</v>
      </c>
      <c r="D135" s="564">
        <f t="shared" ref="D135:K135" si="27">D131*120+D132*300+D133*660+D134*1380</f>
        <v>20414097440.145897</v>
      </c>
      <c r="E135" s="564">
        <f t="shared" si="27"/>
        <v>40813043203.976723</v>
      </c>
      <c r="F135" s="564">
        <f t="shared" si="27"/>
        <v>40805551659.953423</v>
      </c>
      <c r="G135" s="564">
        <f t="shared" si="27"/>
        <v>40805811380.387779</v>
      </c>
      <c r="H135" s="564">
        <f t="shared" si="27"/>
        <v>40813922869.669876</v>
      </c>
      <c r="I135" s="564">
        <f t="shared" si="27"/>
        <v>40829996320.42038</v>
      </c>
      <c r="J135" s="564">
        <f t="shared" si="27"/>
        <v>40854151950.274796</v>
      </c>
      <c r="K135" s="564">
        <f t="shared" si="27"/>
        <v>40886520360.447685</v>
      </c>
      <c r="L135" s="591"/>
      <c r="M135" s="934"/>
    </row>
    <row r="136" spans="3:16">
      <c r="C136" s="577" t="s">
        <v>1364</v>
      </c>
      <c r="D136" s="580">
        <f t="shared" ref="D136:K136" si="28">D135*(AVERAGE($H$36:$H$38))</f>
        <v>34806111.743217058</v>
      </c>
      <c r="E136" s="580">
        <f t="shared" si="28"/>
        <v>69586389.822199598</v>
      </c>
      <c r="F136" s="580">
        <f t="shared" si="28"/>
        <v>69573616.711893409</v>
      </c>
      <c r="G136" s="580">
        <f t="shared" si="28"/>
        <v>69574059.536195919</v>
      </c>
      <c r="H136" s="580">
        <f t="shared" si="28"/>
        <v>69587889.655464441</v>
      </c>
      <c r="I136" s="580">
        <f t="shared" si="28"/>
        <v>69615294.948525354</v>
      </c>
      <c r="J136" s="580">
        <f t="shared" si="28"/>
        <v>69656480.386892423</v>
      </c>
      <c r="K136" s="580">
        <f t="shared" si="28"/>
        <v>69711668.646120206</v>
      </c>
      <c r="L136" s="591"/>
      <c r="M136" s="934"/>
    </row>
    <row r="137" spans="3:16">
      <c r="C137" s="177" t="s">
        <v>1085</v>
      </c>
      <c r="D137" s="564">
        <f t="shared" ref="D137:K137" si="29">D87*13</f>
        <v>464380044.82651037</v>
      </c>
      <c r="E137" s="564">
        <f t="shared" si="29"/>
        <v>911461450.60940003</v>
      </c>
      <c r="F137" s="564">
        <f t="shared" si="29"/>
        <v>894606779.95508146</v>
      </c>
      <c r="G137" s="564">
        <f t="shared" si="29"/>
        <v>878184167.09788597</v>
      </c>
      <c r="H137" s="564">
        <f t="shared" si="29"/>
        <v>862182029.61811388</v>
      </c>
      <c r="I137" s="564">
        <f t="shared" si="29"/>
        <v>846589104.07170439</v>
      </c>
      <c r="J137" s="564">
        <f t="shared" si="29"/>
        <v>831394437.05455029</v>
      </c>
      <c r="K137" s="564">
        <f t="shared" si="29"/>
        <v>816587376.52046442</v>
      </c>
    </row>
    <row r="138" spans="3:16">
      <c r="C138" s="177" t="s">
        <v>1086</v>
      </c>
      <c r="D138" s="564">
        <f t="shared" ref="D138:K138" si="30">D89*13</f>
        <v>1479887741.2647283</v>
      </c>
      <c r="E138" s="564">
        <f t="shared" si="30"/>
        <v>2942025145.5656137</v>
      </c>
      <c r="F138" s="564">
        <f t="shared" si="30"/>
        <v>2924164144.8033891</v>
      </c>
      <c r="G138" s="564">
        <f t="shared" si="30"/>
        <v>2906194265.8747478</v>
      </c>
      <c r="H138" s="564">
        <f t="shared" si="30"/>
        <v>2888117373.1455946</v>
      </c>
      <c r="I138" s="564">
        <f t="shared" si="30"/>
        <v>2869935409.6042037</v>
      </c>
      <c r="J138" s="564">
        <f t="shared" si="30"/>
        <v>2851650396.654325</v>
      </c>
      <c r="K138" s="564">
        <f t="shared" si="30"/>
        <v>2833264433.8111558</v>
      </c>
    </row>
    <row r="139" spans="3:16">
      <c r="C139" s="577" t="s">
        <v>1084</v>
      </c>
      <c r="D139" s="580">
        <f>D137*$H$36+D138*$H$37</f>
        <v>3376320.1471988191</v>
      </c>
      <c r="E139" s="580">
        <f t="shared" ref="E139:K139" si="31">E137*$H$36+E138*$H$37</f>
        <v>6692149.6936546527</v>
      </c>
      <c r="F139" s="580">
        <f t="shared" si="31"/>
        <v>6632222.6398016214</v>
      </c>
      <c r="G139" s="580">
        <f t="shared" si="31"/>
        <v>6572841.9477129867</v>
      </c>
      <c r="H139" s="580">
        <f t="shared" si="31"/>
        <v>6513991.1292070262</v>
      </c>
      <c r="I139" s="580">
        <f t="shared" si="31"/>
        <v>6455654.3771732561</v>
      </c>
      <c r="J139" s="580">
        <f t="shared" si="31"/>
        <v>6397816.5499785449</v>
      </c>
      <c r="K139" s="581">
        <f t="shared" si="31"/>
        <v>6340463.1561359698</v>
      </c>
    </row>
    <row r="140" spans="3:16">
      <c r="C140" s="175" t="s">
        <v>1075</v>
      </c>
      <c r="D140" s="566">
        <f t="shared" ref="D140:K140" si="32">(D102+D103+D104+D105)*$F$5</f>
        <v>33005945.304312866</v>
      </c>
      <c r="E140" s="566">
        <f t="shared" si="32"/>
        <v>66994908.773933038</v>
      </c>
      <c r="F140" s="566">
        <f t="shared" si="32"/>
        <v>68007631.47871241</v>
      </c>
      <c r="G140" s="566">
        <f t="shared" si="32"/>
        <v>69051328.343646914</v>
      </c>
      <c r="H140" s="566">
        <f t="shared" si="32"/>
        <v>70127344.213789418</v>
      </c>
      <c r="I140" s="566">
        <f t="shared" si="32"/>
        <v>71237103.994658977</v>
      </c>
      <c r="J140" s="566">
        <f t="shared" si="32"/>
        <v>72382117.808408052</v>
      </c>
      <c r="K140" s="570">
        <f t="shared" si="32"/>
        <v>73563986.491370887</v>
      </c>
      <c r="M140" s="22"/>
      <c r="N140" s="22"/>
      <c r="O140" s="22"/>
      <c r="P140" s="22"/>
    </row>
    <row r="141" spans="3:16">
      <c r="C141" s="175" t="s">
        <v>1062</v>
      </c>
      <c r="D141" s="566">
        <f t="shared" ref="D141:K141" si="33">D108*$F$6</f>
        <v>896099076.32206285</v>
      </c>
      <c r="E141" s="566">
        <f t="shared" si="33"/>
        <v>1804726404.6524637</v>
      </c>
      <c r="F141" s="566">
        <f t="shared" si="33"/>
        <v>1817342234.6432657</v>
      </c>
      <c r="G141" s="566">
        <f t="shared" si="33"/>
        <v>1830046254.825083</v>
      </c>
      <c r="H141" s="566">
        <f t="shared" si="33"/>
        <v>1842839081.6860738</v>
      </c>
      <c r="I141" s="566">
        <f t="shared" si="33"/>
        <v>1855721336.0239186</v>
      </c>
      <c r="J141" s="566">
        <f t="shared" si="33"/>
        <v>1868693642.9759467</v>
      </c>
      <c r="K141" s="570">
        <f t="shared" si="33"/>
        <v>1881756632.0494716</v>
      </c>
      <c r="M141" s="22"/>
      <c r="N141" s="22"/>
      <c r="O141" s="22"/>
      <c r="P141" s="22"/>
    </row>
    <row r="142" spans="3:16">
      <c r="C142" s="579" t="s">
        <v>1063</v>
      </c>
      <c r="D142" s="381">
        <f>SUM(D140:D141)</f>
        <v>929105021.62637568</v>
      </c>
      <c r="E142" s="381">
        <f t="shared" ref="E142:K142" si="34">SUM(E140:E141)</f>
        <v>1871721313.4263966</v>
      </c>
      <c r="F142" s="381">
        <f t="shared" si="34"/>
        <v>1885349866.121978</v>
      </c>
      <c r="G142" s="381">
        <f t="shared" si="34"/>
        <v>1899097583.16873</v>
      </c>
      <c r="H142" s="381">
        <f t="shared" si="34"/>
        <v>1912966425.8998632</v>
      </c>
      <c r="I142" s="381">
        <f t="shared" si="34"/>
        <v>1926958440.0185776</v>
      </c>
      <c r="J142" s="381">
        <f t="shared" si="34"/>
        <v>1941075760.7843547</v>
      </c>
      <c r="K142" s="578">
        <f t="shared" si="34"/>
        <v>1955320618.5408425</v>
      </c>
      <c r="L142" s="591">
        <f>SUM(D142:K142)</f>
        <v>14321595029.587118</v>
      </c>
      <c r="M142" s="22"/>
      <c r="N142" s="22"/>
      <c r="O142" s="22"/>
      <c r="P142" s="22"/>
    </row>
    <row r="143" spans="3:16">
      <c r="C143" s="175" t="s">
        <v>1074</v>
      </c>
      <c r="D143" s="566">
        <f>(D102+D103+D104+D105)*$F$7*DM_xx_SR_IAD_ukazovatele!AD24+(D102+D103+D104+D105)*$F$9*DM_xx_SR_IAD_ukazovatele!AD23</f>
        <v>20668128.214936979</v>
      </c>
      <c r="E143" s="566">
        <f>(E102+E103+E104+E105)*$F$7*DM_xx_SR_IAD_ukazovatele!AE24+(E102+E103+E104+E105)*$F$9*DM_xx_SR_IAD_ukazovatele!AE23</f>
        <v>41639319.717386335</v>
      </c>
      <c r="F143" s="566">
        <f>(F102+F103+F104+F105)*$F$7*DM_xx_SR_IAD_ukazovatele!AF24+(F102+F103+F104+F105)*$F$9*DM_xx_SR_IAD_ukazovatele!AF23</f>
        <v>41895406.148752719</v>
      </c>
      <c r="G143" s="566">
        <f>(G102+G103+G104+G105)*$F$7*DM_xx_SR_IAD_ukazovatele!AG24+(G102+G103+G104+G105)*$F$9*DM_xx_SR_IAD_ukazovatele!AG23</f>
        <v>42104632.6324552</v>
      </c>
      <c r="H143" s="566">
        <f>(H102+H103+H104+H105)*$F$7*DM_xx_SR_IAD_ukazovatele!AH24+(H102+H103+H104+H105)*$F$9*DM_xx_SR_IAD_ukazovatele!AH23</f>
        <v>42267061.677069575</v>
      </c>
      <c r="I143" s="566">
        <f>(I102+I103+I104+I105)*$F$7*DM_xx_SR_IAD_ukazovatele!AI24+(I102+I103+I104+I105)*$F$9*DM_xx_SR_IAD_ukazovatele!AI23</f>
        <v>42369623.994053751</v>
      </c>
      <c r="J143" s="566">
        <f>(J102+J103+J104+J105)*$F$7*DM_xx_SR_IAD_ukazovatele!AJ24+(J102+J103+J104+J105)*$F$9*DM_xx_SR_IAD_ukazovatele!AJ23</f>
        <v>42399014.211325586</v>
      </c>
      <c r="K143" s="570">
        <f>(K102+K103+K104+K105)*$F$7*DM_xx_SR_IAD_ukazovatele!AK24+(K102+K103+K104+K105)*$F$9*DM_xx_SR_IAD_ukazovatele!AK23</f>
        <v>42341652.902670644</v>
      </c>
      <c r="M143" s="22"/>
      <c r="N143" s="22"/>
      <c r="O143" s="22"/>
      <c r="P143" s="22"/>
    </row>
    <row r="144" spans="3:16">
      <c r="C144" s="175" t="s">
        <v>1076</v>
      </c>
      <c r="D144" s="566">
        <f>D108*$F$8*DM_xx_SR_IAD_ukazovatele!AD24+D108*$F$9*DM_xx_SR_IAD_ukazovatele!AD23</f>
        <v>126806189.27022202</v>
      </c>
      <c r="E144" s="566">
        <f>E108*$F$8*DM_xx_SR_IAD_ukazovatele!AE24+E108*$F$9*DM_xx_SR_IAD_ukazovatele!AE23</f>
        <v>253482889.12374192</v>
      </c>
      <c r="F144" s="566">
        <f>F108*$F$8*DM_xx_SR_IAD_ukazovatele!AF24+F108*$F$9*DM_xx_SR_IAD_ukazovatele!AF23</f>
        <v>253000235.38369629</v>
      </c>
      <c r="G144" s="566">
        <f>G108*$F$8*DM_xx_SR_IAD_ukazovatele!AG24+G108*$F$9*DM_xx_SR_IAD_ukazovatele!AG23</f>
        <v>252171128.57809791</v>
      </c>
      <c r="H144" s="566">
        <f>H108*$F$8*DM_xx_SR_IAD_ukazovatele!AH24+H108*$F$9*DM_xx_SR_IAD_ukazovatele!AH23</f>
        <v>251002201.0497525</v>
      </c>
      <c r="I144" s="566">
        <f>I108*$F$8*DM_xx_SR_IAD_ukazovatele!AI24+I108*$F$9*DM_xx_SR_IAD_ukazovatele!AI23</f>
        <v>249423038.55433589</v>
      </c>
      <c r="J144" s="566">
        <f>J108*$F$8*DM_xx_SR_IAD_ukazovatele!AJ24+J108*$F$9*DM_xx_SR_IAD_ukazovatele!AJ23</f>
        <v>247364875.42132303</v>
      </c>
      <c r="K144" s="570">
        <f>K108*$F$8*DM_xx_SR_IAD_ukazovatele!AK24+K108*$F$9*DM_xx_SR_IAD_ukazovatele!AK23</f>
        <v>244760570.8922843</v>
      </c>
      <c r="M144" s="22"/>
      <c r="N144" s="22"/>
      <c r="O144" s="22"/>
      <c r="P144" s="22"/>
    </row>
    <row r="145" spans="1:16">
      <c r="C145" s="579" t="s">
        <v>1079</v>
      </c>
      <c r="D145" s="381">
        <f>SUM(D143:D144)</f>
        <v>147474317.48515901</v>
      </c>
      <c r="E145" s="381">
        <f t="shared" ref="E145:K145" si="35">SUM(E143:E144)</f>
        <v>295122208.84112823</v>
      </c>
      <c r="F145" s="381">
        <f t="shared" si="35"/>
        <v>294895641.53244901</v>
      </c>
      <c r="G145" s="381">
        <f t="shared" si="35"/>
        <v>294275761.21055311</v>
      </c>
      <c r="H145" s="381">
        <f t="shared" si="35"/>
        <v>293269262.72682208</v>
      </c>
      <c r="I145" s="381">
        <f t="shared" si="35"/>
        <v>291792662.54838967</v>
      </c>
      <c r="J145" s="381">
        <f t="shared" si="35"/>
        <v>289763889.63264859</v>
      </c>
      <c r="K145" s="578">
        <f t="shared" si="35"/>
        <v>287102223.79495496</v>
      </c>
      <c r="L145" s="591">
        <f>SUM(D145:K145)</f>
        <v>2193695967.7721047</v>
      </c>
      <c r="M145" s="22"/>
      <c r="N145" s="22"/>
      <c r="O145" s="22"/>
      <c r="P145" s="22"/>
    </row>
    <row r="146" spans="1:16">
      <c r="C146" s="175" t="s">
        <v>1077</v>
      </c>
      <c r="D146" s="566">
        <f>(D102+D103+D104+D105)*$F$10*DM_xx_SR_IAD_ukazovatele!AD24+(D102+D103+D104+D105)*$F$12*DM_xx_SR_IAD_ukazovatele!AD23</f>
        <v>6620717.9672359889</v>
      </c>
      <c r="E146" s="566">
        <f>(E102+E103+E104+E105)*$F$10*DM_xx_SR_IAD_ukazovatele!AE24+(E102+E103+E104+E105)*$F$12*DM_xx_SR_IAD_ukazovatele!AE23</f>
        <v>13434858.311061744</v>
      </c>
      <c r="F146" s="566">
        <f>(F102+F103+F104+F105)*$F$10*DM_xx_SR_IAD_ukazovatele!AF24+(F102+F103+F104+F105)*$F$12*DM_xx_SR_IAD_ukazovatele!AF23</f>
        <v>13633449.526910154</v>
      </c>
      <c r="G146" s="566">
        <f>(G102+G103+G104+G105)*$F$10*DM_xx_SR_IAD_ukazovatele!AG24+(G102+G103+G104+G105)*$F$12*DM_xx_SR_IAD_ukazovatele!AG23</f>
        <v>13837456.09186882</v>
      </c>
      <c r="H146" s="566">
        <f>(H102+H103+H104+H105)*$F$10*DM_xx_SR_IAD_ukazovatele!AH24+(H102+H103+H104+H105)*$F$12*DM_xx_SR_IAD_ukazovatele!AH23</f>
        <v>14047138.382914277</v>
      </c>
      <c r="I146" s="566">
        <f>(I102+I103+I104+I105)*$F$10*DM_xx_SR_IAD_ukazovatele!AI24+(I102+I103+I104+I105)*$F$12*DM_xx_SR_IAD_ukazovatele!AI23</f>
        <v>14262614.108132228</v>
      </c>
      <c r="J146" s="566">
        <f>(J102+J103+J104+J105)*$F$10*DM_xx_SR_IAD_ukazovatele!AJ24+(J102+J103+J104+J105)*$F$12*DM_xx_SR_IAD_ukazovatele!AJ23</f>
        <v>14484014.584036484</v>
      </c>
      <c r="K146" s="570">
        <f>(K102+K103+K104+K105)*$F$10*DM_xx_SR_IAD_ukazovatele!AK24+(K102+K103+K104+K105)*$F$12*DM_xx_SR_IAD_ukazovatele!AK23</f>
        <v>14711485.33966111</v>
      </c>
      <c r="M146" s="22"/>
      <c r="N146" s="22"/>
      <c r="O146" s="22"/>
      <c r="P146" s="22"/>
    </row>
    <row r="147" spans="1:16">
      <c r="C147" s="175" t="s">
        <v>1078</v>
      </c>
      <c r="D147" s="566">
        <f>D108*$F$11*DM_xx_SR_IAD_ukazovatele!AD24+D108*$F$13*DM_xx_SR_IAD_ukazovatele!AD23</f>
        <v>81083585.763373375</v>
      </c>
      <c r="E147" s="566">
        <f>E108*$F$11*DM_xx_SR_IAD_ukazovatele!AE24+E108*$F$13*DM_xx_SR_IAD_ukazovatele!AE23</f>
        <v>163262261.9813717</v>
      </c>
      <c r="F147" s="566">
        <f>F108*$F$11*DM_xx_SR_IAD_ukazovatele!AF24+F108*$F$13*DM_xx_SR_IAD_ukazovatele!AF23</f>
        <v>164357873.11742342</v>
      </c>
      <c r="G147" s="566">
        <f>G108*$F$11*DM_xx_SR_IAD_ukazovatele!AG24+G108*$F$13*DM_xx_SR_IAD_ukazovatele!AG23</f>
        <v>165454194.50249472</v>
      </c>
      <c r="H147" s="566">
        <f>H108*$F$11*DM_xx_SR_IAD_ukazovatele!AH24+H108*$F$13*DM_xx_SR_IAD_ukazovatele!AH23</f>
        <v>166551414.48084843</v>
      </c>
      <c r="I147" s="566">
        <f>I108*$F$11*DM_xx_SR_IAD_ukazovatele!AI24+I108*$F$13*DM_xx_SR_IAD_ukazovatele!AI23</f>
        <v>167648161.31101003</v>
      </c>
      <c r="J147" s="566">
        <f>J108*$F$11*DM_xx_SR_IAD_ukazovatele!AJ24+J108*$F$13*DM_xx_SR_IAD_ukazovatele!AJ23</f>
        <v>168743097.02113608</v>
      </c>
      <c r="K147" s="570">
        <f>K108*$F$11*DM_xx_SR_IAD_ukazovatele!AK24+K108*$F$13*DM_xx_SR_IAD_ukazovatele!AK23</f>
        <v>169834916.93243995</v>
      </c>
      <c r="M147" s="22"/>
      <c r="N147" s="22"/>
      <c r="O147" s="22"/>
      <c r="P147" s="22"/>
    </row>
    <row r="148" spans="1:16">
      <c r="C148" s="579" t="s">
        <v>1080</v>
      </c>
      <c r="D148" s="381">
        <f>SUM(D146:D147)</f>
        <v>87704303.730609357</v>
      </c>
      <c r="E148" s="381">
        <f t="shared" ref="E148:K148" si="36">SUM(E146:E147)</f>
        <v>176697120.29243344</v>
      </c>
      <c r="F148" s="381">
        <f t="shared" si="36"/>
        <v>177991322.64433357</v>
      </c>
      <c r="G148" s="381">
        <f t="shared" si="36"/>
        <v>179291650.59436354</v>
      </c>
      <c r="H148" s="381">
        <f t="shared" si="36"/>
        <v>180598552.86376271</v>
      </c>
      <c r="I148" s="381">
        <f t="shared" si="36"/>
        <v>181910775.41914225</v>
      </c>
      <c r="J148" s="381">
        <f t="shared" si="36"/>
        <v>183227111.60517257</v>
      </c>
      <c r="K148" s="578">
        <f t="shared" si="36"/>
        <v>184546402.27210107</v>
      </c>
      <c r="L148" s="591">
        <f>SUM(D148:K148)</f>
        <v>1351967239.4219186</v>
      </c>
      <c r="M148" s="22"/>
      <c r="N148" s="22"/>
      <c r="O148" s="22"/>
      <c r="P148" s="22"/>
    </row>
    <row r="149" spans="1:16">
      <c r="C149" s="175" t="s">
        <v>1081</v>
      </c>
      <c r="D149" s="566">
        <f>(D102+D103+D104+D105)*$F$14*DM_xx_SR_IAD_ukazovatele!AD24+(D102+D103+D104+D105)*$F$16*DM_xx_SR_IAD_ukazovatele!AD23</f>
        <v>30685688.533127833</v>
      </c>
      <c r="E149" s="566">
        <f>(E102+E103+E104+E105)*$F$14*DM_xx_SR_IAD_ukazovatele!AE24+(E102+E103+E104+E105)*$F$16*DM_xx_SR_IAD_ukazovatele!AE23</f>
        <v>61825797.534854621</v>
      </c>
      <c r="F149" s="566">
        <f>(F102+F103+F104+F105)*$F$14*DM_xx_SR_IAD_ukazovatele!AF24+(F102+F103+F104+F105)*$F$16*DM_xx_SR_IAD_ukazovatele!AF23</f>
        <v>62211409.409333795</v>
      </c>
      <c r="G149" s="566">
        <f>(G102+G103+G104+G105)*$F$14*DM_xx_SR_IAD_ukazovatele!AG24+(G102+G103+G104+G105)*$F$16*DM_xx_SR_IAD_ukazovatele!AG23</f>
        <v>62528395.95453196</v>
      </c>
      <c r="H149" s="566">
        <f>(H102+H103+H104+H105)*$F$14*DM_xx_SR_IAD_ukazovatele!AH24+(H102+H103+H104+H105)*$F$16*DM_xx_SR_IAD_ukazovatele!AH23</f>
        <v>62776861.119302787</v>
      </c>
      <c r="I149" s="566">
        <f>(I102+I103+I104+I105)*$F$14*DM_xx_SR_IAD_ukazovatele!AI24+(I102+I103+I104+I105)*$F$16*DM_xx_SR_IAD_ukazovatele!AI23</f>
        <v>62937600.662063003</v>
      </c>
      <c r="J149" s="566">
        <f>(J102+J103+J104+J105)*$F$14*DM_xx_SR_IAD_ukazovatele!AJ24+(J102+J103+J104+J105)*$F$16*DM_xx_SR_IAD_ukazovatele!AJ23</f>
        <v>62991063.968272567</v>
      </c>
      <c r="K149" s="570">
        <f>(K102+K103+K104+K105)*$F$14*DM_xx_SR_IAD_ukazovatele!AK24+(K102+K103+K104+K105)*$F$16*DM_xx_SR_IAD_ukazovatele!AK23</f>
        <v>62917298.267933086</v>
      </c>
      <c r="M149" s="22"/>
      <c r="N149" s="22"/>
      <c r="O149" s="22"/>
      <c r="P149" s="22"/>
    </row>
    <row r="150" spans="1:16">
      <c r="C150" s="175" t="s">
        <v>1082</v>
      </c>
      <c r="D150" s="566">
        <f>D108*$F$15*DM_xx_SR_IAD_ukazovatele!AD24+D108*$F$17*DM_xx_SR_IAD_ukazovatele!AD23</f>
        <v>571764564.66969514</v>
      </c>
      <c r="E150" s="566">
        <f>E108*$F$15*DM_xx_SR_IAD_ukazovatele!AE24+E108*$F$17*DM_xx_SR_IAD_ukazovatele!AE23</f>
        <v>1142969781.8600836</v>
      </c>
      <c r="F150" s="566">
        <f>F108*$F$15*DM_xx_SR_IAD_ukazovatele!AF24+F108*$F$17*DM_xx_SR_IAD_ukazovatele!AF23</f>
        <v>1140822740.0486326</v>
      </c>
      <c r="G150" s="566">
        <f>G108*$F$15*DM_xx_SR_IAD_ukazovatele!AG24+G108*$F$17*DM_xx_SR_IAD_ukazovatele!AG23</f>
        <v>1137118179.3542402</v>
      </c>
      <c r="H150" s="566">
        <f>H108*$F$15*DM_xx_SR_IAD_ukazovatele!AH24+H108*$F$17*DM_xx_SR_IAD_ukazovatele!AH23</f>
        <v>1131885920.4260521</v>
      </c>
      <c r="I150" s="566">
        <f>I108*$F$15*DM_xx_SR_IAD_ukazovatele!AI24+I108*$F$17*DM_xx_SR_IAD_ukazovatele!AI23</f>
        <v>1124809376.5216703</v>
      </c>
      <c r="J150" s="566">
        <f>J108*$F$15*DM_xx_SR_IAD_ukazovatele!AJ24+J108*$F$17*DM_xx_SR_IAD_ukazovatele!AJ23</f>
        <v>1115579373.0215883</v>
      </c>
      <c r="K150" s="570">
        <f>K108*$F$15*DM_xx_SR_IAD_ukazovatele!AK24+K108*$F$17*DM_xx_SR_IAD_ukazovatele!AK23</f>
        <v>1103894041.0444009</v>
      </c>
    </row>
    <row r="151" spans="1:16">
      <c r="C151" s="582" t="s">
        <v>1083</v>
      </c>
      <c r="D151" s="583">
        <f>SUM(D149:D150)</f>
        <v>602450253.20282292</v>
      </c>
      <c r="E151" s="583">
        <f t="shared" ref="E151:K151" si="37">SUM(E149:E150)</f>
        <v>1204795579.3949382</v>
      </c>
      <c r="F151" s="583">
        <f t="shared" si="37"/>
        <v>1203034149.4579663</v>
      </c>
      <c r="G151" s="583">
        <f t="shared" si="37"/>
        <v>1199646575.3087721</v>
      </c>
      <c r="H151" s="583">
        <f t="shared" si="37"/>
        <v>1194662781.5453548</v>
      </c>
      <c r="I151" s="583">
        <f t="shared" si="37"/>
        <v>1187746977.1837335</v>
      </c>
      <c r="J151" s="583">
        <f t="shared" si="37"/>
        <v>1178570436.989861</v>
      </c>
      <c r="K151" s="584">
        <f t="shared" si="37"/>
        <v>1166811339.3123341</v>
      </c>
      <c r="L151" s="591">
        <f>SUM(D151:K151)</f>
        <v>8937718092.3957825</v>
      </c>
    </row>
    <row r="152" spans="1:16">
      <c r="C152" s="22"/>
      <c r="D152" s="22"/>
      <c r="E152" s="173"/>
      <c r="F152" s="22"/>
      <c r="G152" s="22"/>
      <c r="H152" s="22"/>
      <c r="I152" s="22"/>
      <c r="J152" s="22"/>
      <c r="K152" s="22"/>
      <c r="M152" s="22"/>
      <c r="N152" s="22"/>
      <c r="O152" s="22"/>
      <c r="P152" s="22"/>
    </row>
    <row r="153" spans="1:16">
      <c r="C153" s="22"/>
      <c r="D153" s="46"/>
      <c r="E153" s="46"/>
      <c r="F153" s="46"/>
      <c r="G153" s="46"/>
      <c r="H153" s="46"/>
      <c r="I153" s="46"/>
      <c r="J153" s="46"/>
      <c r="K153" s="46"/>
      <c r="M153" s="22"/>
      <c r="N153" s="22"/>
      <c r="O153" s="22"/>
      <c r="P153" s="22"/>
    </row>
    <row r="154" spans="1:16">
      <c r="A154" s="125" t="s">
        <v>1144</v>
      </c>
      <c r="B154" s="125"/>
    </row>
    <row r="155" spans="1:16">
      <c r="C155" s="656" t="s">
        <v>529</v>
      </c>
      <c r="D155" s="657">
        <v>2026</v>
      </c>
      <c r="E155" s="657">
        <v>2027</v>
      </c>
      <c r="F155" s="657">
        <v>2028</v>
      </c>
      <c r="G155" s="657">
        <v>2029</v>
      </c>
      <c r="H155" s="657">
        <v>2030</v>
      </c>
      <c r="I155" s="657">
        <v>2031</v>
      </c>
      <c r="J155" s="657">
        <v>2032</v>
      </c>
      <c r="K155" s="658">
        <v>2033</v>
      </c>
    </row>
    <row r="156" spans="1:16">
      <c r="C156" s="659" t="s">
        <v>1048</v>
      </c>
      <c r="D156" s="660">
        <f t="shared" ref="D156:K160" si="38">D86+D162</f>
        <v>26068037.789877463</v>
      </c>
      <c r="E156" s="660">
        <f t="shared" si="38"/>
        <v>52090171.385198832</v>
      </c>
      <c r="F156" s="660">
        <f t="shared" si="38"/>
        <v>52123102.741813816</v>
      </c>
      <c r="G156" s="660">
        <f t="shared" si="38"/>
        <v>52061598.192145631</v>
      </c>
      <c r="H156" s="660">
        <f t="shared" si="38"/>
        <v>52046188.121682346</v>
      </c>
      <c r="I156" s="660">
        <f t="shared" si="38"/>
        <v>52078555.36620421</v>
      </c>
      <c r="J156" s="660">
        <f t="shared" si="38"/>
        <v>52160489.548514545</v>
      </c>
      <c r="K156" s="660">
        <f t="shared" si="38"/>
        <v>52293892.664854668</v>
      </c>
      <c r="M156" s="22"/>
      <c r="N156" s="22"/>
      <c r="O156" s="22"/>
      <c r="P156" s="22"/>
    </row>
    <row r="157" spans="1:16">
      <c r="C157" s="661" t="s">
        <v>1049</v>
      </c>
      <c r="D157" s="660">
        <f t="shared" si="38"/>
        <v>35745253.479910962</v>
      </c>
      <c r="E157" s="660">
        <f t="shared" si="38"/>
        <v>70299942.365620509</v>
      </c>
      <c r="F157" s="660">
        <f t="shared" si="38"/>
        <v>69186626.250775307</v>
      </c>
      <c r="G157" s="660">
        <f t="shared" si="38"/>
        <v>67919035.574115872</v>
      </c>
      <c r="H157" s="660">
        <f t="shared" si="38"/>
        <v>66683802.850807637</v>
      </c>
      <c r="I157" s="660">
        <f t="shared" si="38"/>
        <v>65480061.989433587</v>
      </c>
      <c r="J157" s="660">
        <f t="shared" si="38"/>
        <v>64306970.694564641</v>
      </c>
      <c r="K157" s="660">
        <f t="shared" si="38"/>
        <v>63163709.800933905</v>
      </c>
      <c r="M157" s="22"/>
      <c r="N157" s="22"/>
      <c r="O157" s="22"/>
      <c r="P157" s="22"/>
    </row>
    <row r="158" spans="1:16">
      <c r="C158" s="661" t="s">
        <v>1050</v>
      </c>
      <c r="D158" s="660">
        <f t="shared" si="38"/>
        <v>89337170.515464097</v>
      </c>
      <c r="E158" s="660">
        <f t="shared" si="38"/>
        <v>180022808.38505036</v>
      </c>
      <c r="F158" s="660">
        <f t="shared" si="38"/>
        <v>181510835.93708795</v>
      </c>
      <c r="G158" s="660">
        <f t="shared" si="38"/>
        <v>182527323.89809632</v>
      </c>
      <c r="H158" s="660">
        <f t="shared" si="38"/>
        <v>183552325.05459151</v>
      </c>
      <c r="I158" s="660">
        <f t="shared" si="38"/>
        <v>184585680.119838</v>
      </c>
      <c r="J158" s="660">
        <f t="shared" si="38"/>
        <v>185627223.44539419</v>
      </c>
      <c r="K158" s="660">
        <f t="shared" si="38"/>
        <v>186676783.04226056</v>
      </c>
      <c r="M158" s="22"/>
      <c r="N158" s="22"/>
      <c r="O158" s="22"/>
      <c r="P158" s="22"/>
    </row>
    <row r="159" spans="1:16">
      <c r="C159" s="662" t="s">
        <v>1051</v>
      </c>
      <c r="D159" s="660">
        <f t="shared" si="38"/>
        <v>113913082.66289379</v>
      </c>
      <c r="E159" s="660">
        <f t="shared" si="38"/>
        <v>226914915.63706508</v>
      </c>
      <c r="F159" s="660">
        <f t="shared" si="38"/>
        <v>226147460.8906813</v>
      </c>
      <c r="G159" s="660">
        <f t="shared" si="38"/>
        <v>224765964.9587341</v>
      </c>
      <c r="H159" s="660">
        <f t="shared" si="38"/>
        <v>223375856.72730553</v>
      </c>
      <c r="I159" s="660">
        <f t="shared" si="38"/>
        <v>221977282.27628711</v>
      </c>
      <c r="J159" s="660">
        <f t="shared" si="38"/>
        <v>220570393.92574278</v>
      </c>
      <c r="K159" s="660">
        <f t="shared" si="38"/>
        <v>219155350.21997768</v>
      </c>
      <c r="M159" s="22"/>
      <c r="N159" s="22"/>
      <c r="O159" s="22"/>
      <c r="P159" s="22"/>
    </row>
    <row r="160" spans="1:16">
      <c r="C160" s="663" t="s">
        <v>1030</v>
      </c>
      <c r="D160" s="660">
        <f t="shared" si="38"/>
        <v>37192138.783491641</v>
      </c>
      <c r="E160" s="660">
        <f t="shared" si="38"/>
        <v>76173494.033330739</v>
      </c>
      <c r="F160" s="660">
        <f t="shared" si="38"/>
        <v>78059915.602569863</v>
      </c>
      <c r="G160" s="660">
        <f t="shared" si="38"/>
        <v>79780161.732664749</v>
      </c>
      <c r="H160" s="660">
        <f t="shared" si="38"/>
        <v>81538232.458673403</v>
      </c>
      <c r="I160" s="660">
        <f t="shared" si="38"/>
        <v>83334954.697335958</v>
      </c>
      <c r="J160" s="660">
        <f t="shared" si="38"/>
        <v>85171173.238060042</v>
      </c>
      <c r="K160" s="660">
        <f t="shared" si="38"/>
        <v>87047751.122574598</v>
      </c>
      <c r="M160" s="22"/>
      <c r="N160" s="22"/>
      <c r="O160" s="22"/>
      <c r="P160" s="22"/>
    </row>
    <row r="161" spans="3:16">
      <c r="C161" s="663" t="s">
        <v>1060</v>
      </c>
      <c r="D161" s="660">
        <f t="shared" ref="D161:K161" si="39">SUM(D156:D160)</f>
        <v>302255683.23163795</v>
      </c>
      <c r="E161" s="660">
        <f t="shared" si="39"/>
        <v>605501331.80626559</v>
      </c>
      <c r="F161" s="660">
        <f t="shared" si="39"/>
        <v>607027941.42292821</v>
      </c>
      <c r="G161" s="660">
        <f t="shared" si="39"/>
        <v>607054084.35575664</v>
      </c>
      <c r="H161" s="660">
        <f t="shared" si="39"/>
        <v>607196405.21306038</v>
      </c>
      <c r="I161" s="660">
        <f t="shared" si="39"/>
        <v>607456534.44909883</v>
      </c>
      <c r="J161" s="660">
        <f t="shared" si="39"/>
        <v>607836250.85227609</v>
      </c>
      <c r="K161" s="660">
        <f t="shared" si="39"/>
        <v>608337486.85060143</v>
      </c>
      <c r="M161" s="22"/>
      <c r="N161" s="22"/>
      <c r="O161" s="22"/>
      <c r="P161" s="22"/>
    </row>
    <row r="162" spans="3:16">
      <c r="C162" s="659" t="s">
        <v>1160</v>
      </c>
      <c r="D162" s="660">
        <f t="shared" ref="D162:K166" si="40">D$167*D92</f>
        <v>17292.200986661319</v>
      </c>
      <c r="E162" s="660">
        <f t="shared" si="40"/>
        <v>138949.04408973185</v>
      </c>
      <c r="F162" s="660">
        <f t="shared" si="40"/>
        <v>279289.2633722967</v>
      </c>
      <c r="G162" s="660">
        <f t="shared" si="40"/>
        <v>280860.16432226932</v>
      </c>
      <c r="H162" s="660">
        <f t="shared" si="40"/>
        <v>282622.676938563</v>
      </c>
      <c r="I162" s="660">
        <f t="shared" si="40"/>
        <v>284589.16395653319</v>
      </c>
      <c r="J162" s="660">
        <f t="shared" si="40"/>
        <v>286772.47854463581</v>
      </c>
      <c r="K162" s="660">
        <f t="shared" si="40"/>
        <v>289185.97754799761</v>
      </c>
      <c r="M162" s="22"/>
      <c r="N162" s="22"/>
      <c r="O162" s="22"/>
      <c r="P162" s="22"/>
    </row>
    <row r="163" spans="3:16">
      <c r="C163" s="661" t="s">
        <v>1161</v>
      </c>
      <c r="D163" s="660">
        <f t="shared" si="40"/>
        <v>23711.570179394039</v>
      </c>
      <c r="E163" s="660">
        <f t="shared" si="40"/>
        <v>187523.08797436161</v>
      </c>
      <c r="F163" s="660">
        <f t="shared" si="40"/>
        <v>370720.10038443503</v>
      </c>
      <c r="G163" s="660">
        <f t="shared" si="40"/>
        <v>366407.33581694268</v>
      </c>
      <c r="H163" s="660">
        <f t="shared" si="40"/>
        <v>362108.26479888312</v>
      </c>
      <c r="I163" s="660">
        <f t="shared" si="40"/>
        <v>357823.21468709153</v>
      </c>
      <c r="J163" s="660">
        <f t="shared" si="40"/>
        <v>353552.45959923614</v>
      </c>
      <c r="K163" s="660">
        <f t="shared" si="40"/>
        <v>349296.22243664484</v>
      </c>
      <c r="M163" s="22"/>
      <c r="N163" s="22"/>
      <c r="O163" s="22"/>
      <c r="P163" s="22"/>
    </row>
    <row r="164" spans="3:16">
      <c r="C164" s="661" t="s">
        <v>1162</v>
      </c>
      <c r="D164" s="660">
        <f t="shared" si="40"/>
        <v>59261.702801923879</v>
      </c>
      <c r="E164" s="660">
        <f t="shared" si="40"/>
        <v>480205.69858519069</v>
      </c>
      <c r="F164" s="660">
        <f t="shared" si="40"/>
        <v>972582.69359110296</v>
      </c>
      <c r="G164" s="660">
        <f t="shared" si="40"/>
        <v>984692.28689674684</v>
      </c>
      <c r="H164" s="660">
        <f t="shared" si="40"/>
        <v>996731.00638881279</v>
      </c>
      <c r="I164" s="660">
        <f t="shared" si="40"/>
        <v>1008689.3542700346</v>
      </c>
      <c r="J164" s="660">
        <f t="shared" si="40"/>
        <v>1020557.5026914335</v>
      </c>
      <c r="K164" s="660">
        <f t="shared" si="40"/>
        <v>1032325.2915129224</v>
      </c>
      <c r="M164" s="22"/>
      <c r="N164" s="22"/>
      <c r="O164" s="22"/>
      <c r="P164" s="22"/>
    </row>
    <row r="165" spans="3:16">
      <c r="C165" s="662" t="s">
        <v>1163</v>
      </c>
      <c r="D165" s="660">
        <f t="shared" si="40"/>
        <v>75564.104068539629</v>
      </c>
      <c r="E165" s="660">
        <f t="shared" si="40"/>
        <v>605289.05509478378</v>
      </c>
      <c r="F165" s="660">
        <f t="shared" si="40"/>
        <v>1211757.4442667519</v>
      </c>
      <c r="G165" s="660">
        <f t="shared" si="40"/>
        <v>1212559.8914458102</v>
      </c>
      <c r="H165" s="660">
        <f t="shared" si="40"/>
        <v>1212981.8699520803</v>
      </c>
      <c r="I165" s="660">
        <f t="shared" si="40"/>
        <v>1213019.9990406586</v>
      </c>
      <c r="J165" s="660">
        <f t="shared" si="40"/>
        <v>1212671.1061793191</v>
      </c>
      <c r="K165" s="660">
        <f t="shared" si="40"/>
        <v>1211932.2345041598</v>
      </c>
      <c r="M165" s="22"/>
      <c r="N165" s="22"/>
      <c r="O165" s="22"/>
      <c r="P165" s="22"/>
    </row>
    <row r="166" spans="3:16">
      <c r="C166" s="663" t="s">
        <v>1164</v>
      </c>
      <c r="D166" s="660">
        <f t="shared" si="40"/>
        <v>24671.359775981131</v>
      </c>
      <c r="E166" s="660">
        <f t="shared" si="40"/>
        <v>203190.6192559324</v>
      </c>
      <c r="F166" s="660">
        <f t="shared" si="40"/>
        <v>418265.51338541304</v>
      </c>
      <c r="G166" s="660">
        <f t="shared" si="40"/>
        <v>430395.34151823114</v>
      </c>
      <c r="H166" s="660">
        <f t="shared" si="40"/>
        <v>442771.20692166087</v>
      </c>
      <c r="I166" s="660">
        <f t="shared" si="40"/>
        <v>455393.29804568249</v>
      </c>
      <c r="J166" s="660">
        <f t="shared" si="40"/>
        <v>468261.48798537528</v>
      </c>
      <c r="K166" s="660">
        <f t="shared" si="40"/>
        <v>481375.31399827555</v>
      </c>
      <c r="M166" s="22"/>
      <c r="N166" s="22"/>
      <c r="O166" s="22"/>
      <c r="P166" s="22"/>
    </row>
    <row r="167" spans="3:16">
      <c r="C167" s="663" t="s">
        <v>1165</v>
      </c>
      <c r="D167" s="660">
        <f>($F$39*D76)*$F$42/2*(1+D77)</f>
        <v>200500.93781249999</v>
      </c>
      <c r="E167" s="660">
        <f t="shared" ref="E167:K167" si="41">($F$39*E76)*$F$42*(1+E77)</f>
        <v>1615157.5050000001</v>
      </c>
      <c r="F167" s="660">
        <f t="shared" si="41"/>
        <v>3252615.0149999997</v>
      </c>
      <c r="G167" s="660">
        <f t="shared" si="41"/>
        <v>3274915.02</v>
      </c>
      <c r="H167" s="660">
        <f t="shared" si="41"/>
        <v>3297215.0249999999</v>
      </c>
      <c r="I167" s="660">
        <f t="shared" si="41"/>
        <v>3319515.0300000003</v>
      </c>
      <c r="J167" s="660">
        <f t="shared" si="41"/>
        <v>3341815.0349999997</v>
      </c>
      <c r="K167" s="660">
        <f t="shared" si="41"/>
        <v>3364115.04</v>
      </c>
      <c r="M167" s="22"/>
      <c r="N167" s="22"/>
      <c r="O167" s="22"/>
      <c r="P167" s="22"/>
    </row>
    <row r="168" spans="3:16">
      <c r="C168" s="663" t="s">
        <v>1067</v>
      </c>
      <c r="D168" s="660">
        <f t="shared" ref="D168:K172" si="42">D102+D175</f>
        <v>521235877.96064222</v>
      </c>
      <c r="E168" s="660">
        <f t="shared" si="42"/>
        <v>1050605732.956953</v>
      </c>
      <c r="F168" s="660">
        <f t="shared" si="42"/>
        <v>1060345901.4136113</v>
      </c>
      <c r="G168" s="660">
        <f t="shared" si="42"/>
        <v>1063929808.4364529</v>
      </c>
      <c r="H168" s="660">
        <f t="shared" si="42"/>
        <v>1067667518.8730648</v>
      </c>
      <c r="I168" s="660">
        <f t="shared" si="42"/>
        <v>1071559853.4921057</v>
      </c>
      <c r="J168" s="660">
        <f t="shared" si="42"/>
        <v>1075607663.4815645</v>
      </c>
      <c r="K168" s="660">
        <f t="shared" si="42"/>
        <v>1079811830.7454231</v>
      </c>
      <c r="M168" s="22"/>
      <c r="N168" s="22"/>
      <c r="O168" s="22"/>
      <c r="P168" s="22"/>
    </row>
    <row r="169" spans="3:16">
      <c r="C169" s="663" t="s">
        <v>1068</v>
      </c>
      <c r="D169" s="660">
        <f t="shared" si="42"/>
        <v>599160124.79228711</v>
      </c>
      <c r="E169" s="660">
        <f t="shared" si="42"/>
        <v>1229986173.56429</v>
      </c>
      <c r="F169" s="660">
        <f t="shared" si="42"/>
        <v>1264728364.381062</v>
      </c>
      <c r="G169" s="660">
        <f t="shared" si="42"/>
        <v>1293288433.5902154</v>
      </c>
      <c r="H169" s="660">
        <f t="shared" si="42"/>
        <v>1323124733.0513072</v>
      </c>
      <c r="I169" s="660">
        <f t="shared" si="42"/>
        <v>1354313752.0957351</v>
      </c>
      <c r="J169" s="660">
        <f t="shared" si="42"/>
        <v>1386936945.7603195</v>
      </c>
      <c r="K169" s="660">
        <f t="shared" si="42"/>
        <v>1421081063.7639422</v>
      </c>
      <c r="M169" s="22"/>
      <c r="N169" s="22"/>
      <c r="O169" s="22"/>
      <c r="P169" s="22"/>
    </row>
    <row r="170" spans="3:16">
      <c r="C170" s="663" t="s">
        <v>1069</v>
      </c>
      <c r="D170" s="660">
        <f t="shared" si="42"/>
        <v>384097439.73871022</v>
      </c>
      <c r="E170" s="660">
        <f t="shared" si="42"/>
        <v>789892105.14772522</v>
      </c>
      <c r="F170" s="660">
        <f t="shared" si="42"/>
        <v>813292000.53966343</v>
      </c>
      <c r="G170" s="660">
        <f t="shared" si="42"/>
        <v>832401096.68950772</v>
      </c>
      <c r="H170" s="660">
        <f t="shared" si="42"/>
        <v>851973307.40613997</v>
      </c>
      <c r="I170" s="660">
        <f t="shared" si="42"/>
        <v>872019139.30205834</v>
      </c>
      <c r="J170" s="660">
        <f t="shared" si="42"/>
        <v>892549286.17810369</v>
      </c>
      <c r="K170" s="660">
        <f t="shared" si="42"/>
        <v>913574630.4892782</v>
      </c>
      <c r="M170" s="22"/>
      <c r="N170" s="22"/>
      <c r="O170" s="22"/>
      <c r="P170" s="22"/>
    </row>
    <row r="171" spans="3:16">
      <c r="C171" s="663" t="s">
        <v>1070</v>
      </c>
      <c r="D171" s="660">
        <f t="shared" si="42"/>
        <v>489759448.96293628</v>
      </c>
      <c r="E171" s="660">
        <f t="shared" si="42"/>
        <v>995642174.51050675</v>
      </c>
      <c r="F171" s="660">
        <f t="shared" si="42"/>
        <v>1013294440.1649712</v>
      </c>
      <c r="G171" s="660">
        <f t="shared" si="42"/>
        <v>1025027002.7219582</v>
      </c>
      <c r="H171" s="660">
        <f t="shared" si="42"/>
        <v>1036817525.4333669</v>
      </c>
      <c r="I171" s="660">
        <f t="shared" si="42"/>
        <v>1048664438.7013559</v>
      </c>
      <c r="J171" s="660">
        <f t="shared" si="42"/>
        <v>1060566138.933592</v>
      </c>
      <c r="K171" s="660">
        <f t="shared" si="42"/>
        <v>1072520989.6703606</v>
      </c>
      <c r="M171" s="22"/>
      <c r="N171" s="22"/>
      <c r="O171" s="22"/>
      <c r="P171" s="22"/>
    </row>
    <row r="172" spans="3:16">
      <c r="C172" s="663" t="s">
        <v>1071</v>
      </c>
      <c r="D172" s="660">
        <f t="shared" si="42"/>
        <v>1880183090.0913835</v>
      </c>
      <c r="E172" s="660">
        <f t="shared" si="42"/>
        <v>3885363575.8442225</v>
      </c>
      <c r="F172" s="660">
        <f t="shared" si="42"/>
        <v>4019826836.7699904</v>
      </c>
      <c r="G172" s="660">
        <f t="shared" si="42"/>
        <v>4134117071.1746426</v>
      </c>
      <c r="H172" s="660">
        <f t="shared" si="42"/>
        <v>4251657478.2789679</v>
      </c>
      <c r="I172" s="660">
        <f t="shared" si="42"/>
        <v>4372540797.8798656</v>
      </c>
      <c r="J172" s="660">
        <f t="shared" si="42"/>
        <v>4496862422.8347349</v>
      </c>
      <c r="K172" s="660">
        <f t="shared" si="42"/>
        <v>4624720474.9952946</v>
      </c>
      <c r="M172" s="22"/>
      <c r="N172" s="22"/>
      <c r="O172" s="22"/>
      <c r="P172" s="22"/>
    </row>
    <row r="173" spans="3:16">
      <c r="C173" s="663" t="s">
        <v>1072</v>
      </c>
      <c r="D173" s="660">
        <f>SUM(D168:D172)</f>
        <v>3874435981.545959</v>
      </c>
      <c r="E173" s="660">
        <f>SUM(E168:E172)</f>
        <v>7951489762.0236969</v>
      </c>
      <c r="F173" s="660">
        <f t="shared" ref="F173:K173" si="43">SUM(F168:F172)</f>
        <v>8171487543.2692986</v>
      </c>
      <c r="G173" s="660">
        <f t="shared" si="43"/>
        <v>8348763412.6127768</v>
      </c>
      <c r="H173" s="660">
        <f t="shared" si="43"/>
        <v>8531240563.0428467</v>
      </c>
      <c r="I173" s="660">
        <f t="shared" si="43"/>
        <v>8719097981.4711208</v>
      </c>
      <c r="J173" s="660">
        <f t="shared" si="43"/>
        <v>8912522457.1883144</v>
      </c>
      <c r="K173" s="660">
        <f t="shared" si="43"/>
        <v>9111708989.664299</v>
      </c>
      <c r="M173" s="22"/>
      <c r="N173" s="22"/>
      <c r="O173" s="22"/>
      <c r="P173" s="22"/>
    </row>
    <row r="174" spans="3:16">
      <c r="C174" s="663" t="s">
        <v>1073</v>
      </c>
      <c r="D174" s="660">
        <f t="shared" ref="D174:K174" si="44">D108+D181</f>
        <v>15017061676.019485</v>
      </c>
      <c r="E174" s="660">
        <f t="shared" si="44"/>
        <v>30208261807.70763</v>
      </c>
      <c r="F174" s="660">
        <f t="shared" si="44"/>
        <v>30371353710.452404</v>
      </c>
      <c r="G174" s="660">
        <f t="shared" si="44"/>
        <v>30583675734.136181</v>
      </c>
      <c r="H174" s="660">
        <f t="shared" si="44"/>
        <v>30797486590.73719</v>
      </c>
      <c r="I174" s="660">
        <f t="shared" si="44"/>
        <v>31012796687.851238</v>
      </c>
      <c r="J174" s="660">
        <f t="shared" si="44"/>
        <v>31229616505.827801</v>
      </c>
      <c r="K174" s="660">
        <f t="shared" si="44"/>
        <v>31447956598.278595</v>
      </c>
      <c r="M174" s="22"/>
      <c r="N174" s="22"/>
      <c r="O174" s="22"/>
      <c r="P174" s="22"/>
    </row>
    <row r="175" spans="3:16">
      <c r="C175" s="663" t="s">
        <v>1166</v>
      </c>
      <c r="D175" s="660">
        <f t="shared" ref="D175:K179" si="45">D$180*D109</f>
        <v>797472.06954777031</v>
      </c>
      <c r="E175" s="660">
        <f t="shared" si="45"/>
        <v>6309274.2078411058</v>
      </c>
      <c r="F175" s="660">
        <f t="shared" si="45"/>
        <v>12478212.069561832</v>
      </c>
      <c r="G175" s="660">
        <f t="shared" si="45"/>
        <v>12338549.804292243</v>
      </c>
      <c r="H175" s="660">
        <f t="shared" si="45"/>
        <v>12199565.784188218</v>
      </c>
      <c r="I175" s="660">
        <f t="shared" si="45"/>
        <v>12061262.686063491</v>
      </c>
      <c r="J175" s="660">
        <f t="shared" si="45"/>
        <v>11923641.776785845</v>
      </c>
      <c r="K175" s="660">
        <f t="shared" si="45"/>
        <v>11786702.990301674</v>
      </c>
      <c r="M175" s="22"/>
      <c r="N175" s="22"/>
      <c r="O175" s="22"/>
      <c r="P175" s="22"/>
    </row>
    <row r="176" spans="3:16">
      <c r="C176" s="663" t="s">
        <v>1171</v>
      </c>
      <c r="D176" s="660">
        <f t="shared" si="45"/>
        <v>916693.35307091905</v>
      </c>
      <c r="E176" s="660">
        <f t="shared" si="45"/>
        <v>7386519.792756849</v>
      </c>
      <c r="F176" s="660">
        <f t="shared" si="45"/>
        <v>14883396.748266412</v>
      </c>
      <c r="G176" s="660">
        <f t="shared" si="45"/>
        <v>14998455.370489867</v>
      </c>
      <c r="H176" s="660">
        <f t="shared" si="45"/>
        <v>15118514.833703557</v>
      </c>
      <c r="I176" s="660">
        <f t="shared" si="45"/>
        <v>15243883.829859504</v>
      </c>
      <c r="J176" s="660">
        <f t="shared" si="45"/>
        <v>15374880.516104605</v>
      </c>
      <c r="K176" s="660">
        <f t="shared" si="45"/>
        <v>15511832.660848573</v>
      </c>
      <c r="M176" s="22"/>
      <c r="N176" s="22"/>
      <c r="O176" s="22"/>
      <c r="P176" s="22"/>
    </row>
    <row r="177" spans="3:16">
      <c r="C177" s="663" t="s">
        <v>1172</v>
      </c>
      <c r="D177" s="660">
        <f t="shared" si="45"/>
        <v>587655.21163828648</v>
      </c>
      <c r="E177" s="660">
        <f t="shared" si="45"/>
        <v>4743592.8908928344</v>
      </c>
      <c r="F177" s="660">
        <f t="shared" si="45"/>
        <v>9570867.4345632214</v>
      </c>
      <c r="G177" s="660">
        <f t="shared" si="45"/>
        <v>9653477.426057497</v>
      </c>
      <c r="H177" s="660">
        <f t="shared" si="45"/>
        <v>9734963.5784034077</v>
      </c>
      <c r="I177" s="660">
        <f t="shared" si="45"/>
        <v>9815272.4480309226</v>
      </c>
      <c r="J177" s="660">
        <f t="shared" si="45"/>
        <v>9894349.3225641456</v>
      </c>
      <c r="K177" s="660">
        <f t="shared" si="45"/>
        <v>9972138.2211734634</v>
      </c>
      <c r="M177" s="22"/>
      <c r="N177" s="22"/>
      <c r="O177" s="22"/>
      <c r="P177" s="22"/>
    </row>
    <row r="178" spans="3:16">
      <c r="C178" s="663" t="s">
        <v>1167</v>
      </c>
      <c r="D178" s="660">
        <f t="shared" si="45"/>
        <v>749314.26991013798</v>
      </c>
      <c r="E178" s="660">
        <f t="shared" si="45"/>
        <v>5979197.8044872899</v>
      </c>
      <c r="F178" s="660">
        <f t="shared" si="45"/>
        <v>11924507.744529238</v>
      </c>
      <c r="G178" s="660">
        <f t="shared" si="45"/>
        <v>11887388.268983433</v>
      </c>
      <c r="H178" s="660">
        <f t="shared" si="45"/>
        <v>11847062.29620479</v>
      </c>
      <c r="I178" s="660">
        <f t="shared" si="45"/>
        <v>11803556.491493324</v>
      </c>
      <c r="J178" s="660">
        <f t="shared" si="45"/>
        <v>11756899.053973487</v>
      </c>
      <c r="K178" s="660">
        <f t="shared" si="45"/>
        <v>11707119.700089037</v>
      </c>
      <c r="M178" s="22"/>
      <c r="N178" s="22"/>
      <c r="O178" s="22"/>
      <c r="P178" s="22"/>
    </row>
    <row r="179" spans="3:16">
      <c r="C179" s="663" t="s">
        <v>1168</v>
      </c>
      <c r="D179" s="660">
        <f t="shared" si="45"/>
        <v>2876612.2275587376</v>
      </c>
      <c r="E179" s="660">
        <f t="shared" si="45"/>
        <v>23333038.672999192</v>
      </c>
      <c r="F179" s="660">
        <f t="shared" si="45"/>
        <v>47305555.371374741</v>
      </c>
      <c r="G179" s="660">
        <f t="shared" si="45"/>
        <v>47943961.128813326</v>
      </c>
      <c r="H179" s="660">
        <f t="shared" si="45"/>
        <v>48581018.136477284</v>
      </c>
      <c r="I179" s="660">
        <f t="shared" si="45"/>
        <v>49216441.803870954</v>
      </c>
      <c r="J179" s="660">
        <f t="shared" si="45"/>
        <v>49849939.220230989</v>
      </c>
      <c r="K179" s="660">
        <f t="shared" si="45"/>
        <v>50481208.947587259</v>
      </c>
      <c r="M179" s="22"/>
      <c r="N179" s="22"/>
      <c r="O179" s="22"/>
      <c r="P179" s="22"/>
    </row>
    <row r="180" spans="3:16">
      <c r="C180" s="663" t="s">
        <v>1169</v>
      </c>
      <c r="D180" s="660">
        <f t="shared" ref="D180:K180" si="46">D167*$F$43</f>
        <v>5927747.1317258514</v>
      </c>
      <c r="E180" s="660">
        <f t="shared" si="46"/>
        <v>47751623.368977271</v>
      </c>
      <c r="F180" s="660">
        <f t="shared" si="46"/>
        <v>96162539.368295446</v>
      </c>
      <c r="G180" s="660">
        <f t="shared" si="46"/>
        <v>96821831.998636365</v>
      </c>
      <c r="H180" s="660">
        <f t="shared" si="46"/>
        <v>97481124.628977269</v>
      </c>
      <c r="I180" s="660">
        <f t="shared" si="46"/>
        <v>98140417.259318188</v>
      </c>
      <c r="J180" s="660">
        <f t="shared" si="46"/>
        <v>98799709.889659077</v>
      </c>
      <c r="K180" s="660">
        <f t="shared" si="46"/>
        <v>99459002.519999996</v>
      </c>
      <c r="M180" s="22"/>
      <c r="N180" s="22"/>
      <c r="O180" s="22"/>
      <c r="P180" s="22"/>
    </row>
    <row r="181" spans="3:16">
      <c r="C181" s="663" t="s">
        <v>1170</v>
      </c>
      <c r="D181" s="660">
        <f>-(D180)</f>
        <v>-5927747.1317258514</v>
      </c>
      <c r="E181" s="660">
        <f t="shared" ref="E181:K181" si="47">-(E180)</f>
        <v>-47751623.368977271</v>
      </c>
      <c r="F181" s="660">
        <f t="shared" si="47"/>
        <v>-96162539.368295446</v>
      </c>
      <c r="G181" s="660">
        <f t="shared" si="47"/>
        <v>-96821831.998636365</v>
      </c>
      <c r="H181" s="660">
        <f t="shared" si="47"/>
        <v>-97481124.628977269</v>
      </c>
      <c r="I181" s="660">
        <f t="shared" si="47"/>
        <v>-98140417.259318188</v>
      </c>
      <c r="J181" s="660">
        <f t="shared" si="47"/>
        <v>-98799709.889659077</v>
      </c>
      <c r="K181" s="660">
        <f t="shared" si="47"/>
        <v>-99459002.519999996</v>
      </c>
      <c r="M181" s="22"/>
      <c r="N181" s="22"/>
      <c r="O181" s="22"/>
      <c r="P181" s="22"/>
    </row>
    <row r="182" spans="3:16">
      <c r="C182" s="662" t="s">
        <v>1055</v>
      </c>
      <c r="D182" s="665">
        <f t="shared" ref="D182:K186" si="48">D156*D97</f>
        <v>20902022.189210344</v>
      </c>
      <c r="E182" s="665">
        <f t="shared" si="48"/>
        <v>41249087.286987938</v>
      </c>
      <c r="F182" s="665">
        <f t="shared" si="48"/>
        <v>40729760.821777947</v>
      </c>
      <c r="G182" s="665">
        <f t="shared" si="48"/>
        <v>40109939.842975155</v>
      </c>
      <c r="H182" s="665">
        <f t="shared" si="48"/>
        <v>39499509.887651183</v>
      </c>
      <c r="I182" s="665">
        <f t="shared" si="48"/>
        <v>38898327.957528181</v>
      </c>
      <c r="J182" s="665">
        <f t="shared" si="48"/>
        <v>38306253.247102067</v>
      </c>
      <c r="K182" s="665">
        <f t="shared" si="48"/>
        <v>37723147.110387765</v>
      </c>
      <c r="M182" s="22"/>
      <c r="N182" s="22"/>
      <c r="O182" s="22"/>
      <c r="P182" s="22"/>
    </row>
    <row r="183" spans="3:16">
      <c r="C183" s="663" t="s">
        <v>1056</v>
      </c>
      <c r="D183" s="665">
        <f t="shared" si="48"/>
        <v>22248986.079711217</v>
      </c>
      <c r="E183" s="665">
        <f t="shared" si="48"/>
        <v>43907252.635236964</v>
      </c>
      <c r="F183" s="665">
        <f t="shared" si="48"/>
        <v>43354459.838889867</v>
      </c>
      <c r="G183" s="665">
        <f t="shared" si="48"/>
        <v>42694696.481810719</v>
      </c>
      <c r="H183" s="665">
        <f t="shared" si="48"/>
        <v>42044929.322647884</v>
      </c>
      <c r="I183" s="665">
        <f t="shared" si="48"/>
        <v>41405006.148057386</v>
      </c>
      <c r="J183" s="665">
        <f t="shared" si="48"/>
        <v>40774777.078775294</v>
      </c>
      <c r="K183" s="665">
        <f t="shared" si="48"/>
        <v>40154094.53421998</v>
      </c>
      <c r="M183" s="22"/>
      <c r="N183" s="22"/>
      <c r="O183" s="22"/>
      <c r="P183" s="22"/>
    </row>
    <row r="184" spans="3:16">
      <c r="C184" s="663" t="s">
        <v>1057</v>
      </c>
      <c r="D184" s="665">
        <f t="shared" si="48"/>
        <v>19853520.92983393</v>
      </c>
      <c r="E184" s="665">
        <f t="shared" si="48"/>
        <v>39642921.775505416</v>
      </c>
      <c r="F184" s="665">
        <f t="shared" si="48"/>
        <v>39607137.703863539</v>
      </c>
      <c r="G184" s="665">
        <f t="shared" si="48"/>
        <v>39466768.319238454</v>
      </c>
      <c r="H184" s="665">
        <f t="shared" si="48"/>
        <v>39327500.768589959</v>
      </c>
      <c r="I184" s="665">
        <f t="shared" si="48"/>
        <v>39189276.215814963</v>
      </c>
      <c r="J184" s="665">
        <f t="shared" si="48"/>
        <v>39052036.231216453</v>
      </c>
      <c r="K184" s="665">
        <f t="shared" si="48"/>
        <v>38915722.82013607</v>
      </c>
      <c r="M184" s="22"/>
      <c r="N184" s="22"/>
      <c r="O184" s="22"/>
      <c r="P184" s="22"/>
    </row>
    <row r="185" spans="3:16">
      <c r="C185" s="663" t="s">
        <v>1059</v>
      </c>
      <c r="D185" s="665">
        <f t="shared" si="48"/>
        <v>25315059.317198653</v>
      </c>
      <c r="E185" s="665">
        <f t="shared" si="48"/>
        <v>49969058.537599176</v>
      </c>
      <c r="F185" s="665">
        <f t="shared" si="48"/>
        <v>49347211.579042271</v>
      </c>
      <c r="G185" s="665">
        <f t="shared" si="48"/>
        <v>48599771.670508482</v>
      </c>
      <c r="H185" s="665">
        <f t="shared" si="48"/>
        <v>47859999.455276854</v>
      </c>
      <c r="I185" s="665">
        <f t="shared" si="48"/>
        <v>47127865.082023881</v>
      </c>
      <c r="J185" s="665">
        <f t="shared" si="48"/>
        <v>46403339.204476573</v>
      </c>
      <c r="K185" s="665">
        <f t="shared" si="48"/>
        <v>45686392.944642536</v>
      </c>
      <c r="M185" s="22"/>
      <c r="N185" s="22"/>
      <c r="O185" s="22"/>
      <c r="P185" s="22"/>
    </row>
    <row r="186" spans="3:16">
      <c r="C186" s="664" t="s">
        <v>1058</v>
      </c>
      <c r="D186" s="665">
        <f t="shared" si="48"/>
        <v>57241687.332720123</v>
      </c>
      <c r="E186" s="665">
        <f t="shared" si="48"/>
        <v>118455322.03402233</v>
      </c>
      <c r="F186" s="665">
        <f t="shared" si="48"/>
        <v>122650184.47678553</v>
      </c>
      <c r="G186" s="665">
        <f t="shared" si="48"/>
        <v>126655620.89408267</v>
      </c>
      <c r="H186" s="665">
        <f t="shared" si="48"/>
        <v>130791727.56270464</v>
      </c>
      <c r="I186" s="665">
        <f t="shared" si="48"/>
        <v>135062758.22194999</v>
      </c>
      <c r="J186" s="665">
        <f t="shared" si="48"/>
        <v>139473104.57322803</v>
      </c>
      <c r="K186" s="665">
        <f t="shared" si="48"/>
        <v>144027300.73057586</v>
      </c>
      <c r="M186" s="22"/>
      <c r="N186" s="22"/>
      <c r="O186" s="22"/>
      <c r="P186" s="22"/>
    </row>
    <row r="187" spans="3:16">
      <c r="C187" s="666" t="s">
        <v>1061</v>
      </c>
      <c r="D187" s="672">
        <f t="shared" ref="D187:K187" si="49">SUM(D182:D186)</f>
        <v>145561275.84867427</v>
      </c>
      <c r="E187" s="672">
        <f t="shared" si="49"/>
        <v>293223642.26935184</v>
      </c>
      <c r="F187" s="672">
        <f t="shared" si="49"/>
        <v>295688754.42035913</v>
      </c>
      <c r="G187" s="672">
        <f t="shared" si="49"/>
        <v>297526797.20861548</v>
      </c>
      <c r="H187" s="672">
        <f t="shared" si="49"/>
        <v>299523666.99687052</v>
      </c>
      <c r="I187" s="672">
        <f t="shared" si="49"/>
        <v>301683233.62537444</v>
      </c>
      <c r="J187" s="672">
        <f t="shared" si="49"/>
        <v>304009510.33479846</v>
      </c>
      <c r="K187" s="672">
        <f t="shared" si="49"/>
        <v>306506658.1399622</v>
      </c>
      <c r="M187" s="22"/>
      <c r="N187" s="22"/>
      <c r="O187" s="22"/>
      <c r="P187" s="22"/>
    </row>
    <row r="188" spans="3:16">
      <c r="C188" s="661" t="s">
        <v>1085</v>
      </c>
      <c r="D188" s="660">
        <f t="shared" ref="D188:K188" si="50">D157*$F$51</f>
        <v>357452534.79910964</v>
      </c>
      <c r="E188" s="660">
        <f t="shared" si="50"/>
        <v>702999423.65620506</v>
      </c>
      <c r="F188" s="660">
        <f t="shared" si="50"/>
        <v>691866262.50775313</v>
      </c>
      <c r="G188" s="660">
        <f t="shared" si="50"/>
        <v>679190355.74115872</v>
      </c>
      <c r="H188" s="660">
        <f t="shared" si="50"/>
        <v>666838028.50807643</v>
      </c>
      <c r="I188" s="660">
        <f t="shared" si="50"/>
        <v>654800619.89433587</v>
      </c>
      <c r="J188" s="660">
        <f t="shared" si="50"/>
        <v>643069706.94564641</v>
      </c>
      <c r="K188" s="660">
        <f t="shared" si="50"/>
        <v>631637098.00933909</v>
      </c>
      <c r="M188" s="22"/>
      <c r="N188" s="22"/>
      <c r="O188" s="22"/>
      <c r="P188" s="22"/>
    </row>
    <row r="189" spans="3:16">
      <c r="C189" s="661" t="s">
        <v>1086</v>
      </c>
      <c r="D189" s="660">
        <f t="shared" ref="D189:K189" si="51">D159*$F$51</f>
        <v>1139130826.628938</v>
      </c>
      <c r="E189" s="660">
        <f t="shared" si="51"/>
        <v>2269149156.3706508</v>
      </c>
      <c r="F189" s="660">
        <f t="shared" si="51"/>
        <v>2261474608.9068131</v>
      </c>
      <c r="G189" s="660">
        <f t="shared" si="51"/>
        <v>2247659649.5873408</v>
      </c>
      <c r="H189" s="660">
        <f t="shared" si="51"/>
        <v>2233758567.2730551</v>
      </c>
      <c r="I189" s="660">
        <f t="shared" si="51"/>
        <v>2219772822.7628713</v>
      </c>
      <c r="J189" s="660">
        <f t="shared" si="51"/>
        <v>2205703939.2574277</v>
      </c>
      <c r="K189" s="660">
        <f t="shared" si="51"/>
        <v>2191553502.1997766</v>
      </c>
      <c r="M189" s="22"/>
      <c r="N189" s="22"/>
      <c r="O189" s="22"/>
      <c r="P189" s="22"/>
    </row>
    <row r="190" spans="3:16">
      <c r="C190" s="671" t="s">
        <v>1084</v>
      </c>
      <c r="D190" s="673">
        <f t="shared" ref="D190:K190" si="52">D188*$H$36+D189*$H$37</f>
        <v>2598893.3167022751</v>
      </c>
      <c r="E190" s="673">
        <f t="shared" si="52"/>
        <v>5161575.8126850091</v>
      </c>
      <c r="F190" s="673">
        <f t="shared" si="52"/>
        <v>5129193.2866295157</v>
      </c>
      <c r="G190" s="673">
        <f t="shared" si="52"/>
        <v>5083456.3272193382</v>
      </c>
      <c r="H190" s="673">
        <f t="shared" si="52"/>
        <v>5038120.5512291882</v>
      </c>
      <c r="I190" s="673">
        <f t="shared" si="52"/>
        <v>4993173.7458773134</v>
      </c>
      <c r="J190" s="673">
        <f t="shared" si="52"/>
        <v>4948604.2130165966</v>
      </c>
      <c r="K190" s="673">
        <f t="shared" si="52"/>
        <v>4904400.7575060688</v>
      </c>
      <c r="M190" s="22"/>
      <c r="N190" s="22"/>
      <c r="O190" s="22"/>
      <c r="P190" s="22"/>
    </row>
    <row r="191" spans="3:16">
      <c r="C191" s="729" t="s">
        <v>879</v>
      </c>
      <c r="D191" s="660">
        <f t="shared" ref="D191:K191" si="53">(D157+D159+D160)*$F$44*$F$45*D$75</f>
        <v>665935.0926373204</v>
      </c>
      <c r="E191" s="660">
        <f t="shared" si="53"/>
        <v>2661512.1733127246</v>
      </c>
      <c r="F191" s="660">
        <f t="shared" si="53"/>
        <v>3992328.677339131</v>
      </c>
      <c r="G191" s="660">
        <f t="shared" si="53"/>
        <v>5309863.3532571783</v>
      </c>
      <c r="H191" s="660">
        <f t="shared" si="53"/>
        <v>6621874.4360955376</v>
      </c>
      <c r="I191" s="660">
        <f t="shared" si="53"/>
        <v>7929022.521026005</v>
      </c>
      <c r="J191" s="660">
        <f t="shared" si="53"/>
        <v>9231970.9224905521</v>
      </c>
      <c r="K191" s="660">
        <f t="shared" si="53"/>
        <v>10531386.519323077</v>
      </c>
      <c r="M191" s="22"/>
      <c r="N191" s="22"/>
      <c r="O191" s="22"/>
      <c r="P191" s="22"/>
    </row>
    <row r="192" spans="3:16">
      <c r="C192" s="661" t="s">
        <v>1075</v>
      </c>
      <c r="D192" s="665">
        <f t="shared" ref="D192:K192" si="54">(D168+D169+D170+D171)*$F$5</f>
        <v>33056520.587019265</v>
      </c>
      <c r="E192" s="665">
        <f t="shared" si="54"/>
        <v>67399668.597106576</v>
      </c>
      <c r="F192" s="665">
        <f t="shared" si="54"/>
        <v>68817479.569811791</v>
      </c>
      <c r="G192" s="665">
        <f t="shared" si="54"/>
        <v>69861522.653296113</v>
      </c>
      <c r="H192" s="665">
        <f t="shared" si="54"/>
        <v>70937907.098719075</v>
      </c>
      <c r="I192" s="665">
        <f t="shared" si="54"/>
        <v>72048062.52894108</v>
      </c>
      <c r="J192" s="665">
        <f t="shared" si="54"/>
        <v>73193503.921371683</v>
      </c>
      <c r="K192" s="668">
        <f t="shared" si="54"/>
        <v>74375837.108948439</v>
      </c>
      <c r="L192" s="591"/>
      <c r="M192" s="22"/>
      <c r="N192" s="22"/>
      <c r="O192" s="22"/>
      <c r="P192" s="22"/>
    </row>
    <row r="193" spans="3:16">
      <c r="C193" s="661" t="s">
        <v>1062</v>
      </c>
      <c r="D193" s="665">
        <f t="shared" ref="D193:K193" si="55">D174*$F$6</f>
        <v>895745494.98217165</v>
      </c>
      <c r="E193" s="665">
        <f t="shared" si="55"/>
        <v>1801878091.018702</v>
      </c>
      <c r="F193" s="665">
        <f t="shared" si="55"/>
        <v>1811606281.5464795</v>
      </c>
      <c r="G193" s="665">
        <f t="shared" si="55"/>
        <v>1824270975.8990335</v>
      </c>
      <c r="H193" s="665">
        <f t="shared" si="55"/>
        <v>1837024476.9307613</v>
      </c>
      <c r="I193" s="665">
        <f t="shared" si="55"/>
        <v>1849867405.4393432</v>
      </c>
      <c r="J193" s="665">
        <f t="shared" si="55"/>
        <v>1862800386.5621083</v>
      </c>
      <c r="K193" s="665">
        <f t="shared" si="55"/>
        <v>1875824049.8063703</v>
      </c>
      <c r="L193" s="591"/>
      <c r="M193" s="22"/>
      <c r="N193" s="22"/>
      <c r="O193" s="22"/>
      <c r="P193" s="22"/>
    </row>
    <row r="194" spans="3:16">
      <c r="C194" s="666" t="s">
        <v>1063</v>
      </c>
      <c r="D194" s="672">
        <f t="shared" ref="D194:K194" si="56">SUM(D192:D193)</f>
        <v>928802015.56919098</v>
      </c>
      <c r="E194" s="672">
        <f t="shared" si="56"/>
        <v>1869277759.6158085</v>
      </c>
      <c r="F194" s="672">
        <f t="shared" si="56"/>
        <v>1880423761.1162913</v>
      </c>
      <c r="G194" s="672">
        <f t="shared" si="56"/>
        <v>1894132498.5523295</v>
      </c>
      <c r="H194" s="672">
        <f t="shared" si="56"/>
        <v>1907962384.0294805</v>
      </c>
      <c r="I194" s="672">
        <f t="shared" si="56"/>
        <v>1921915467.9682844</v>
      </c>
      <c r="J194" s="672">
        <f t="shared" si="56"/>
        <v>1935993890.48348</v>
      </c>
      <c r="K194" s="674">
        <f t="shared" si="56"/>
        <v>1950199886.9153187</v>
      </c>
      <c r="L194" s="591"/>
      <c r="M194" s="22"/>
      <c r="N194" s="22"/>
      <c r="O194" s="22"/>
      <c r="P194" s="22"/>
    </row>
    <row r="195" spans="3:16">
      <c r="C195" s="661" t="s">
        <v>1074</v>
      </c>
      <c r="D195" s="665">
        <f>(D168+D169+D170+D171)*$F$7*'B_03 Súhrn-vstupy a projekcie'!M$126+(D168+D169+D170+D171)*$F$9*'B_03 Súhrn-vstupy a projekcie'!M$125</f>
        <v>20699798.15857425</v>
      </c>
      <c r="E195" s="665">
        <f>(E168+E169+E170+E171)*$F$7*'B_03 Súhrn-vstupy a projekcie'!N$126+(E168+E169+E170+E171)*$F$9*'B_03 Súhrn-vstupy a projekcie'!N$125</f>
        <v>41890889.933606021</v>
      </c>
      <c r="F195" s="665">
        <f>(F168+F169+F170+F171)*$F$7*'B_03 Súhrn-vstupy a projekcie'!O$126+(F168+F169+F170+F171)*$F$9*'B_03 Súhrn-vstupy a projekcie'!O$125</f>
        <v>42394304.786415473</v>
      </c>
      <c r="G195" s="665">
        <f>(G168+G169+G170+G171)*$F$7*'B_03 Súhrn-vstupy a projekcie'!P$126+(G168+G169+G170+G171)*$F$9*'B_03 Súhrn-vstupy a projekcie'!P$125</f>
        <v>42598655.478748843</v>
      </c>
      <c r="H195" s="665">
        <f>(H168+H169+H170+H171)*$F$7*'B_03 Súhrn-vstupy a projekcie'!Q$126+(H168+H169+H170+H171)*$F$9*'B_03 Súhrn-vstupy a projekcie'!Q$125</f>
        <v>42755603.08462695</v>
      </c>
      <c r="I195" s="665">
        <f>(I168+I169+I170+I171)*$F$7*'B_03 Súhrn-vstupy a projekcie'!R$126+(I168+I169+I170+I171)*$F$9*'B_03 Súhrn-vstupy a projekcie'!R$125</f>
        <v>42851957.023409881</v>
      </c>
      <c r="J195" s="665">
        <f>(J168+J169+J170+J171)*$F$7*'B_03 Súhrn-vstupy a projekcie'!S$126+(J168+J169+J170+J171)*$F$9*'B_03 Súhrn-vstupy a projekcie'!S$125</f>
        <v>42874296.952091441</v>
      </c>
      <c r="K195" s="665">
        <f>(K168+K169+K170+K171)*$F$7*'B_03 Súhrn-vstupy a projekcie'!T$126+(K168+K169+K170+K171)*$F$9*'B_03 Súhrn-vstupy a projekcie'!T$125</f>
        <v>42808934.499248073</v>
      </c>
      <c r="L195" s="591"/>
    </row>
    <row r="196" spans="3:16">
      <c r="C196" s="661" t="s">
        <v>1076</v>
      </c>
      <c r="D196" s="665">
        <f>D174*$F$8*'B_03 Súhrn-vstupy a projekcie'!M$126+D174*$F$9*'B_03 Súhrn-vstupy a projekcie'!M$125</f>
        <v>126756154.28693347</v>
      </c>
      <c r="E196" s="665">
        <f>E174*$F$8*'B_03 Súhrn-vstupy a projekcie'!N$126+E174*$F$9*'B_03 Súhrn-vstupy a projekcie'!N$125</f>
        <v>253082829.16609114</v>
      </c>
      <c r="F196" s="665">
        <f>F174*$F$8*'B_03 Súhrn-vstupy a projekcie'!O$126+F174*$F$9*'B_03 Súhrn-vstupy a projekcie'!O$125</f>
        <v>252201708.03096482</v>
      </c>
      <c r="G196" s="665">
        <f>G174*$F$8*'B_03 Súhrn-vstupy a projekcie'!P$126+G174*$F$9*'B_03 Súhrn-vstupy a projekcie'!P$125</f>
        <v>251375324.31861791</v>
      </c>
      <c r="H196" s="665">
        <f>H174*$F$8*'B_03 Súhrn-vstupy a projekcie'!Q$126+H174*$F$9*'B_03 Súhrn-vstupy a projekcie'!Q$125</f>
        <v>250210228.16057193</v>
      </c>
      <c r="I196" s="665">
        <f>I174*$F$8*'B_03 Súhrn-vstupy a projekcie'!R$126+I174*$F$9*'B_03 Súhrn-vstupy a projekcie'!R$125</f>
        <v>248636225.83329481</v>
      </c>
      <c r="J196" s="665">
        <f>J174*$F$8*'B_03 Súhrn-vstupy a projekcie'!S$126+J174*$F$9*'B_03 Súhrn-vstupy a projekcie'!S$125</f>
        <v>246584766.46974897</v>
      </c>
      <c r="K196" s="665">
        <f>K174*$F$8*'B_03 Súhrn-vstupy a projekcie'!T$126+K174*$F$9*'B_03 Súhrn-vstupy a projekcie'!T$125</f>
        <v>243988918.38847172</v>
      </c>
      <c r="L196" s="591"/>
    </row>
    <row r="197" spans="3:16">
      <c r="C197" s="666" t="s">
        <v>1079</v>
      </c>
      <c r="D197" s="672">
        <f t="shared" ref="D197:K197" si="57">SUM(D195:D196)</f>
        <v>147455952.44550771</v>
      </c>
      <c r="E197" s="672">
        <f t="shared" si="57"/>
        <v>294973719.09969717</v>
      </c>
      <c r="F197" s="672">
        <f t="shared" si="57"/>
        <v>294596012.81738031</v>
      </c>
      <c r="G197" s="672">
        <f t="shared" si="57"/>
        <v>293973979.79736674</v>
      </c>
      <c r="H197" s="672">
        <f t="shared" si="57"/>
        <v>292965831.24519891</v>
      </c>
      <c r="I197" s="672">
        <f t="shared" si="57"/>
        <v>291488182.85670471</v>
      </c>
      <c r="J197" s="672">
        <f t="shared" si="57"/>
        <v>289459063.42184043</v>
      </c>
      <c r="K197" s="674">
        <f t="shared" si="57"/>
        <v>286797852.88771981</v>
      </c>
      <c r="L197" s="591"/>
    </row>
    <row r="198" spans="3:16">
      <c r="C198" s="661" t="s">
        <v>1077</v>
      </c>
      <c r="D198" s="665">
        <f>(D168+D169+D170+D171)*$F$10*'B_03 Súhrn-vstupy a projekcie'!M126+(D168+D169+D170+D171)*$F$12*'B_03 Súhrn-vstupy a projekcie'!M125</f>
        <v>6630862.948081865</v>
      </c>
      <c r="E198" s="665">
        <f>(E168+E169+E170+E171)*$F$10*'B_03 Súhrn-vstupy a projekcie'!N126+(E168+E169+E170+E171)*$F$12*'B_03 Súhrn-vstupy a projekcie'!N125</f>
        <v>13516027.029310118</v>
      </c>
      <c r="F198" s="665">
        <f>(F168+F169+F170+F171)*$F$10*'B_03 Súhrn-vstupy a projekcie'!O126+(F168+F169+F170+F171)*$F$12*'B_03 Súhrn-vstupy a projekcie'!O125</f>
        <v>13795799.293170193</v>
      </c>
      <c r="G198" s="665">
        <f>(G168+G169+G170+G171)*$F$10*'B_03 Súhrn-vstupy a projekcie'!P126+(G168+G169+G170+G171)*$F$12*'B_03 Súhrn-vstupy a projekcie'!P125</f>
        <v>13999813.984969139</v>
      </c>
      <c r="H198" s="665">
        <f>(H168+H169+H170+H171)*$F$10*'B_03 Súhrn-vstupy a projekcie'!Q126+(H168+H169+H170+H171)*$F$12*'B_03 Súhrn-vstupy a projekcie'!Q125</f>
        <v>14209501.426036937</v>
      </c>
      <c r="I198" s="665">
        <f>(I168+I169+I170+I171)*$F$10*'B_03 Súhrn-vstupy a projekcie'!R126+(I168+I169+I170+I171)*$F$12*'B_03 Súhrn-vstupy a projekcie'!R125</f>
        <v>14424978.774627227</v>
      </c>
      <c r="J198" s="665">
        <f>(J168+J169+J170+J171)*$F$10*'B_03 Súhrn-vstupy a projekcie'!S126+(J168+J169+J170+J171)*$F$12*'B_03 Súhrn-vstupy a projekcie'!S125</f>
        <v>14646376.900162097</v>
      </c>
      <c r="K198" s="665">
        <f>(K168+K169+K170+K171)*$F$10*'B_03 Súhrn-vstupy a projekcie'!T126+(K168+K169+K170+K171)*$F$12*'B_03 Súhrn-vstupy a projekcie'!T125</f>
        <v>14873840.984428786</v>
      </c>
      <c r="L198" s="591"/>
    </row>
    <row r="199" spans="3:16">
      <c r="C199" s="661" t="s">
        <v>1078</v>
      </c>
      <c r="D199" s="665">
        <f>D174*$F$11*'B_03 Súhrn-vstupy a projekcie'!M126+D174*$F$13*'B_03 Súhrn-vstupy a projekcie'!M125</f>
        <v>81051591.931826219</v>
      </c>
      <c r="E199" s="665">
        <f>E174*$F$11*'B_03 Súhrn-vstupy a projekcie'!N126+E174*$F$13*'B_03 Súhrn-vstupy a projekcie'!N125</f>
        <v>163004592.93775293</v>
      </c>
      <c r="F199" s="665">
        <f>F174*$F$11*'B_03 Súhrn-vstupy a projekcie'!O126+F174*$F$13*'B_03 Súhrn-vstupy a projekcie'!O125</f>
        <v>163839121.59483296</v>
      </c>
      <c r="G199" s="665">
        <f>G174*$F$11*'B_03 Súhrn-vstupy a projekcie'!P126+G174*$F$13*'B_03 Súhrn-vstupy a projekcie'!P125</f>
        <v>164932052.4417586</v>
      </c>
      <c r="H199" s="665">
        <f>H174*$F$11*'B_03 Súhrn-vstupy a projekcie'!Q126+H174*$F$13*'B_03 Súhrn-vstupy a projekcie'!Q125</f>
        <v>166025904.32845995</v>
      </c>
      <c r="I199" s="665">
        <f>I174*$F$11*'B_03 Súhrn-vstupy a projekcie'!R126+I174*$F$13*'B_03 Súhrn-vstupy a projekcie'!R125</f>
        <v>167119309.979781</v>
      </c>
      <c r="J199" s="665">
        <f>J174*$F$11*'B_03 Súhrn-vstupy a projekcie'!S126+J174*$F$13*'B_03 Súhrn-vstupy a projekcie'!S125</f>
        <v>168210935.77440166</v>
      </c>
      <c r="K199" s="665">
        <f>K174*$F$11*'B_03 Súhrn-vstupy a projekcie'!T126+K174*$F$13*'B_03 Súhrn-vstupy a projekcie'!T125</f>
        <v>169299481.26807636</v>
      </c>
      <c r="L199" s="591"/>
    </row>
    <row r="200" spans="3:16">
      <c r="C200" s="666" t="s">
        <v>1080</v>
      </c>
      <c r="D200" s="672">
        <f t="shared" ref="D200:K200" si="58">SUM(D198:D199)</f>
        <v>87682454.879908085</v>
      </c>
      <c r="E200" s="672">
        <f t="shared" si="58"/>
        <v>176520619.96706304</v>
      </c>
      <c r="F200" s="672">
        <f t="shared" si="58"/>
        <v>177634920.88800314</v>
      </c>
      <c r="G200" s="672">
        <f t="shared" si="58"/>
        <v>178931866.42672774</v>
      </c>
      <c r="H200" s="672">
        <f t="shared" si="58"/>
        <v>180235405.75449687</v>
      </c>
      <c r="I200" s="672">
        <f t="shared" si="58"/>
        <v>181544288.75440824</v>
      </c>
      <c r="J200" s="672">
        <f t="shared" si="58"/>
        <v>182857312.67456377</v>
      </c>
      <c r="K200" s="674">
        <f t="shared" si="58"/>
        <v>184173322.25250515</v>
      </c>
      <c r="L200" s="591"/>
    </row>
    <row r="201" spans="3:16">
      <c r="C201" s="661" t="s">
        <v>1081</v>
      </c>
      <c r="D201" s="665">
        <f>(D168+D169+D170+D171)*$F$14*'B_03 Súhrn-vstupy a projekcie'!M126+(D168+D169+D170+D171)*$F$16*'B_03 Súhrn-vstupy a projekcie'!M125</f>
        <v>30732708.467212271</v>
      </c>
      <c r="E201" s="665">
        <f>(E168+E169+E170+E171)*$F$14*'B_03 Súhrn-vstupy a projekcie'!N126+(E168+E169+E170+E171)*$F$16*'B_03 Súhrn-vstupy a projekcie'!N125</f>
        <v>62199327.394596852</v>
      </c>
      <c r="F201" s="665">
        <f>(F168+F169+F170+F171)*$F$14*'B_03 Súhrn-vstupy a projekcie'!O126+(F168+F169+F170+F171)*$F$16*'B_03 Súhrn-vstupy a projekcie'!O125</f>
        <v>62952234.961691409</v>
      </c>
      <c r="G201" s="665">
        <f>(G168+G169+G170+G171)*$F$14*'B_03 Súhrn-vstupy a projekcie'!P126+(G168+G169+G170+G171)*$F$16*'B_03 Súhrn-vstupy a projekcie'!P125</f>
        <v>63262055.274476312</v>
      </c>
      <c r="H201" s="665">
        <f>(H168+H169+H170+H171)*$F$14*'B_03 Súhrn-vstupy a projekcie'!Q126+(H168+H169+H170+H171)*$F$16*'B_03 Súhrn-vstupy a projekcie'!Q125</f>
        <v>63502463.867077805</v>
      </c>
      <c r="I201" s="665">
        <f>(I168+I169+I170+I171)*$F$14*'B_03 Súhrn-vstupy a projekcie'!R126+(I168+I169+I170+I171)*$F$16*'B_03 Súhrn-vstupy a projekcie'!R125</f>
        <v>63654078.193041317</v>
      </c>
      <c r="J201" s="665">
        <f>(J168+J169+J170+J171)*$F$14*'B_03 Súhrn-vstupy a projekcie'!S126+(J168+J169+J170+J171)*$F$16*'B_03 Súhrn-vstupy a projekcie'!S125</f>
        <v>63697178.628801644</v>
      </c>
      <c r="K201" s="665">
        <f>(K168+K169+K170+K171)*$F$14*'B_03 Súhrn-vstupy a projekcie'!T126+(K168+K169+K170+K171)*$F$16*'B_03 Súhrn-vstupy a projekcie'!T125</f>
        <v>63611652.25677143</v>
      </c>
      <c r="L201" s="591"/>
      <c r="N201" s="22"/>
      <c r="O201" s="22"/>
      <c r="P201" s="22"/>
    </row>
    <row r="202" spans="3:16">
      <c r="C202" s="661" t="s">
        <v>1082</v>
      </c>
      <c r="D202" s="665">
        <f>D174*$F$15*'B_03 Súhrn-vstupy a projekcie'!M126+D174*$F$17*'B_03 Súhrn-vstupy a projekcie'!M125</f>
        <v>571538958.72251809</v>
      </c>
      <c r="E202" s="665">
        <f>E174*$F$15*'B_03 Súhrn-vstupy a projekcie'!N126+E174*$F$17*'B_03 Súhrn-vstupy a projekcie'!N125</f>
        <v>1141165887.1510258</v>
      </c>
      <c r="F202" s="665">
        <f>F174*$F$15*'B_03 Súhrn-vstupy a projekcie'!O126+F174*$F$17*'B_03 Súhrn-vstupy a projekcie'!O125</f>
        <v>1137222039.1988277</v>
      </c>
      <c r="G202" s="665">
        <f>G174*$F$15*'B_03 Súhrn-vstupy a projekcie'!P126+G174*$F$17*'B_03 Súhrn-vstupy a projekcie'!P125</f>
        <v>1133529650.0259037</v>
      </c>
      <c r="H202" s="665">
        <f>H174*$F$15*'B_03 Súhrn-vstupy a projekcie'!Q126+H174*$F$17*'B_03 Súhrn-vstupy a projekcie'!Q125</f>
        <v>1128314545.5182881</v>
      </c>
      <c r="I202" s="665">
        <f>I174*$F$15*'B_03 Súhrn-vstupy a projekcie'!R126+I174*$F$17*'B_03 Súhrn-vstupy a projekcie'!R125</f>
        <v>1121261130.4120765</v>
      </c>
      <c r="J202" s="665">
        <f>J174*$F$15*'B_03 Súhrn-vstupy a projekcie'!S126+J174*$F$17*'B_03 Súhrn-vstupy a projekcie'!S125</f>
        <v>1112061195.8608122</v>
      </c>
      <c r="K202" s="665">
        <f>K174*$F$15*'B_03 Súhrn-vstupy a projekcie'!T126+K174*$F$17*'B_03 Súhrn-vstupy a projekcie'!T125</f>
        <v>1100413813.009263</v>
      </c>
      <c r="L202" s="591"/>
      <c r="N202" s="22"/>
      <c r="O202" s="22"/>
      <c r="P202" s="22"/>
    </row>
    <row r="203" spans="3:16">
      <c r="C203" s="667" t="s">
        <v>1083</v>
      </c>
      <c r="D203" s="675">
        <f t="shared" ref="D203:K203" si="59">SUM(D201:D202)</f>
        <v>602271667.18973041</v>
      </c>
      <c r="E203" s="675">
        <f t="shared" si="59"/>
        <v>1203365214.5456226</v>
      </c>
      <c r="F203" s="675">
        <f t="shared" si="59"/>
        <v>1200174274.1605191</v>
      </c>
      <c r="G203" s="675">
        <f t="shared" si="59"/>
        <v>1196791705.30038</v>
      </c>
      <c r="H203" s="675">
        <f t="shared" si="59"/>
        <v>1191817009.385366</v>
      </c>
      <c r="I203" s="675">
        <f t="shared" si="59"/>
        <v>1184915208.6051178</v>
      </c>
      <c r="J203" s="675">
        <f t="shared" si="59"/>
        <v>1175758374.4896138</v>
      </c>
      <c r="K203" s="676">
        <f t="shared" si="59"/>
        <v>1164025465.2660344</v>
      </c>
      <c r="L203" s="591"/>
      <c r="N203" s="22"/>
      <c r="O203" s="22"/>
      <c r="P203" s="22"/>
    </row>
    <row r="204" spans="3:16">
      <c r="C204" s="599" t="s">
        <v>992</v>
      </c>
      <c r="D204" s="681"/>
      <c r="E204" s="681"/>
      <c r="F204" s="681"/>
      <c r="G204" s="681"/>
      <c r="H204" s="681"/>
      <c r="I204" s="681"/>
      <c r="J204" s="681"/>
      <c r="K204" s="681"/>
      <c r="L204" s="591"/>
      <c r="N204" s="22"/>
      <c r="O204" s="22"/>
      <c r="P204" s="22"/>
    </row>
    <row r="205" spans="3:16">
      <c r="C205" s="678" t="s">
        <v>1153</v>
      </c>
      <c r="D205" s="679">
        <v>2026</v>
      </c>
      <c r="E205" s="679">
        <v>2027</v>
      </c>
      <c r="F205" s="679">
        <v>2028</v>
      </c>
      <c r="G205" s="679">
        <v>2029</v>
      </c>
      <c r="H205" s="679">
        <v>2030</v>
      </c>
      <c r="I205" s="679">
        <v>2031</v>
      </c>
      <c r="J205" s="679">
        <v>2032</v>
      </c>
      <c r="K205" s="680">
        <v>2033</v>
      </c>
      <c r="L205" s="732" t="s">
        <v>203</v>
      </c>
      <c r="M205" s="22"/>
      <c r="N205" s="22"/>
      <c r="O205" s="22"/>
      <c r="P205" s="22"/>
    </row>
    <row r="206" spans="3:16">
      <c r="C206" s="177" t="s">
        <v>416</v>
      </c>
      <c r="D206" s="184">
        <f t="shared" ref="D206:K206" si="60">D187-D129</f>
        <v>96557.894312530756</v>
      </c>
      <c r="E206" s="184">
        <f t="shared" si="60"/>
        <v>782165.68911910057</v>
      </c>
      <c r="F206" s="184">
        <f t="shared" si="60"/>
        <v>1584377.9450083971</v>
      </c>
      <c r="G206" s="184">
        <f t="shared" si="60"/>
        <v>1605087.5896256566</v>
      </c>
      <c r="H206" s="184">
        <f t="shared" si="60"/>
        <v>1626481.8544480801</v>
      </c>
      <c r="I206" s="184">
        <f t="shared" si="60"/>
        <v>1648582.1972869635</v>
      </c>
      <c r="J206" s="184">
        <f t="shared" si="60"/>
        <v>1671409.941403389</v>
      </c>
      <c r="K206" s="184">
        <f t="shared" si="60"/>
        <v>1694986.2219521999</v>
      </c>
      <c r="L206" s="682">
        <f t="shared" ref="L206:L212" si="61">SUM(D206:K206)</f>
        <v>10709649.333156317</v>
      </c>
      <c r="M206" s="677"/>
    </row>
    <row r="207" spans="3:16">
      <c r="C207" s="175" t="s">
        <v>875</v>
      </c>
      <c r="D207" s="182">
        <f t="shared" ref="D207:K207" si="62">D139-D190</f>
        <v>777426.83049654402</v>
      </c>
      <c r="E207" s="182">
        <f t="shared" si="62"/>
        <v>1530573.8809696436</v>
      </c>
      <c r="F207" s="182">
        <f t="shared" si="62"/>
        <v>1503029.3531721057</v>
      </c>
      <c r="G207" s="182">
        <f t="shared" si="62"/>
        <v>1489385.6204936486</v>
      </c>
      <c r="H207" s="182">
        <f t="shared" si="62"/>
        <v>1475870.577977838</v>
      </c>
      <c r="I207" s="182">
        <f t="shared" si="62"/>
        <v>1462480.6312959427</v>
      </c>
      <c r="J207" s="182">
        <f t="shared" si="62"/>
        <v>1449212.3369619483</v>
      </c>
      <c r="K207" s="182">
        <f t="shared" si="62"/>
        <v>1436062.398629901</v>
      </c>
      <c r="L207" s="682">
        <f t="shared" si="61"/>
        <v>11124041.62999757</v>
      </c>
      <c r="M207" s="677"/>
      <c r="N207" s="22"/>
      <c r="O207" s="22"/>
      <c r="P207" s="22"/>
    </row>
    <row r="208" spans="3:16">
      <c r="C208" s="175" t="s">
        <v>880</v>
      </c>
      <c r="D208" s="182">
        <f t="shared" ref="D208:K208" si="63">D$191*($F$46-$F$47)*AVERAGE($H$36:$H$38)</f>
        <v>204375.92388712207</v>
      </c>
      <c r="E208" s="182">
        <f t="shared" si="63"/>
        <v>816819.86033112416</v>
      </c>
      <c r="F208" s="182">
        <f t="shared" si="63"/>
        <v>1225248.332627831</v>
      </c>
      <c r="G208" s="182">
        <f t="shared" si="63"/>
        <v>1629600.6030235304</v>
      </c>
      <c r="H208" s="182">
        <f t="shared" si="63"/>
        <v>2032257.6790206779</v>
      </c>
      <c r="I208" s="182">
        <f t="shared" si="63"/>
        <v>2433422.2977178949</v>
      </c>
      <c r="J208" s="182">
        <f t="shared" si="63"/>
        <v>2833298.0307596321</v>
      </c>
      <c r="K208" s="182">
        <f t="shared" si="63"/>
        <v>3232089.5437045991</v>
      </c>
      <c r="L208" s="682">
        <f t="shared" si="61"/>
        <v>14407112.271072412</v>
      </c>
      <c r="M208" s="677"/>
      <c r="N208" s="22"/>
      <c r="O208" s="22"/>
      <c r="P208" s="22"/>
    </row>
    <row r="209" spans="1:16">
      <c r="C209" s="175" t="s">
        <v>417</v>
      </c>
      <c r="D209" s="182">
        <f t="shared" ref="D209:K209" si="64">D142-D194</f>
        <v>303006.0571846962</v>
      </c>
      <c r="E209" s="182">
        <f t="shared" si="64"/>
        <v>2443553.8105881214</v>
      </c>
      <c r="F209" s="182">
        <f t="shared" si="64"/>
        <v>4926105.0056867599</v>
      </c>
      <c r="G209" s="182">
        <f t="shared" si="64"/>
        <v>4965084.6164004803</v>
      </c>
      <c r="H209" s="182">
        <f t="shared" si="64"/>
        <v>5004041.8703827858</v>
      </c>
      <c r="I209" s="182">
        <f t="shared" si="64"/>
        <v>5042972.0502932072</v>
      </c>
      <c r="J209" s="182">
        <f t="shared" si="64"/>
        <v>5081870.3008747101</v>
      </c>
      <c r="K209" s="182">
        <f t="shared" si="64"/>
        <v>5120731.6255238056</v>
      </c>
      <c r="L209" s="682">
        <f t="shared" si="61"/>
        <v>32887365.336934566</v>
      </c>
      <c r="M209" s="677"/>
      <c r="N209" s="22"/>
      <c r="O209" s="22"/>
      <c r="P209" s="22"/>
    </row>
    <row r="210" spans="1:16">
      <c r="C210" s="175" t="s">
        <v>418</v>
      </c>
      <c r="D210" s="182">
        <f t="shared" ref="D210:K210" si="65">D145-D197</f>
        <v>18365.039651304483</v>
      </c>
      <c r="E210" s="182">
        <f t="shared" si="65"/>
        <v>148489.74143105745</v>
      </c>
      <c r="F210" s="182">
        <f t="shared" si="65"/>
        <v>299628.71506869793</v>
      </c>
      <c r="G210" s="182">
        <f t="shared" si="65"/>
        <v>301781.41318637133</v>
      </c>
      <c r="H210" s="182">
        <f t="shared" si="65"/>
        <v>303431.48162317276</v>
      </c>
      <c r="I210" s="182">
        <f t="shared" si="65"/>
        <v>304479.69168496132</v>
      </c>
      <c r="J210" s="182">
        <f t="shared" si="65"/>
        <v>304826.21080815792</v>
      </c>
      <c r="K210" s="182">
        <f t="shared" si="65"/>
        <v>304370.90723514557</v>
      </c>
      <c r="L210" s="682">
        <f t="shared" si="61"/>
        <v>1985373.2006888688</v>
      </c>
      <c r="M210" s="677"/>
    </row>
    <row r="211" spans="1:16">
      <c r="C211" s="175" t="s">
        <v>419</v>
      </c>
      <c r="D211" s="182">
        <f t="shared" ref="D211:K211" si="66">D148-D200</f>
        <v>21848.850701272488</v>
      </c>
      <c r="E211" s="182">
        <f t="shared" si="66"/>
        <v>176500.32537040114</v>
      </c>
      <c r="F211" s="182">
        <f t="shared" si="66"/>
        <v>356401.75633043051</v>
      </c>
      <c r="G211" s="182">
        <f t="shared" si="66"/>
        <v>359784.16763579845</v>
      </c>
      <c r="H211" s="182">
        <f t="shared" si="66"/>
        <v>363147.10926583409</v>
      </c>
      <c r="I211" s="182">
        <f t="shared" si="66"/>
        <v>366486.66473400593</v>
      </c>
      <c r="J211" s="182">
        <f t="shared" si="66"/>
        <v>369798.93060880899</v>
      </c>
      <c r="K211" s="182">
        <f t="shared" si="66"/>
        <v>373080.01959592104</v>
      </c>
      <c r="L211" s="682">
        <f t="shared" si="61"/>
        <v>2387047.8242424726</v>
      </c>
      <c r="M211" s="677"/>
    </row>
    <row r="212" spans="1:16">
      <c r="C212" s="589" t="s">
        <v>420</v>
      </c>
      <c r="D212" s="683">
        <f t="shared" ref="D212:K212" si="67">D151-D203</f>
        <v>178586.01309251785</v>
      </c>
      <c r="E212" s="683">
        <f t="shared" si="67"/>
        <v>1430364.8493156433</v>
      </c>
      <c r="F212" s="683">
        <f t="shared" si="67"/>
        <v>2859875.2974472046</v>
      </c>
      <c r="G212" s="683">
        <f t="shared" si="67"/>
        <v>2854870.0083920956</v>
      </c>
      <c r="H212" s="683">
        <f t="shared" si="67"/>
        <v>2845772.1599888802</v>
      </c>
      <c r="I212" s="683">
        <f t="shared" si="67"/>
        <v>2831768.5786156654</v>
      </c>
      <c r="J212" s="683">
        <f t="shared" si="67"/>
        <v>2812062.5002472401</v>
      </c>
      <c r="K212" s="683">
        <f t="shared" si="67"/>
        <v>2785874.046299696</v>
      </c>
      <c r="L212" s="682">
        <f t="shared" si="61"/>
        <v>18599173.453398943</v>
      </c>
      <c r="M212" s="677"/>
      <c r="N212" s="22"/>
      <c r="O212" s="22"/>
      <c r="P212" s="22"/>
    </row>
    <row r="213" spans="1:16">
      <c r="C213" s="684" t="s">
        <v>203</v>
      </c>
      <c r="D213" s="730">
        <f t="shared" ref="D213:L213" si="68">SUM(D206:D212)</f>
        <v>1600166.6093259878</v>
      </c>
      <c r="E213" s="730">
        <f t="shared" si="68"/>
        <v>7328468.1571250912</v>
      </c>
      <c r="F213" s="730">
        <f t="shared" si="68"/>
        <v>12754666.405341428</v>
      </c>
      <c r="G213" s="730">
        <f t="shared" si="68"/>
        <v>13205594.018757582</v>
      </c>
      <c r="H213" s="730">
        <f t="shared" si="68"/>
        <v>13651002.732707269</v>
      </c>
      <c r="I213" s="730">
        <f t="shared" si="68"/>
        <v>14090192.11162864</v>
      </c>
      <c r="J213" s="730">
        <f t="shared" si="68"/>
        <v>14522478.251663886</v>
      </c>
      <c r="K213" s="730">
        <f t="shared" si="68"/>
        <v>14947194.762941267</v>
      </c>
      <c r="L213" s="731">
        <f t="shared" si="68"/>
        <v>92099763.049491152</v>
      </c>
      <c r="M213" s="677"/>
      <c r="N213" s="22"/>
      <c r="O213" s="22"/>
      <c r="P213" s="22"/>
    </row>
    <row r="214" spans="1:16">
      <c r="C214" s="599"/>
      <c r="D214" s="46"/>
      <c r="E214" s="46"/>
      <c r="F214" s="46"/>
      <c r="G214" s="46"/>
      <c r="H214" s="46"/>
      <c r="I214" s="46"/>
      <c r="J214" s="46"/>
      <c r="K214" s="46"/>
      <c r="L214" s="46"/>
      <c r="M214" s="677"/>
      <c r="N214" s="22"/>
      <c r="O214" s="22"/>
      <c r="P214" s="22"/>
    </row>
    <row r="215" spans="1:16">
      <c r="A215" s="125" t="s">
        <v>1180</v>
      </c>
      <c r="B215" s="125"/>
    </row>
    <row r="216" spans="1:16">
      <c r="C216" s="656" t="s">
        <v>529</v>
      </c>
      <c r="D216" s="657">
        <v>2026</v>
      </c>
      <c r="E216" s="657">
        <v>2027</v>
      </c>
      <c r="F216" s="657">
        <v>2028</v>
      </c>
      <c r="G216" s="657">
        <v>2029</v>
      </c>
      <c r="H216" s="657">
        <v>2030</v>
      </c>
      <c r="I216" s="657">
        <v>2031</v>
      </c>
      <c r="J216" s="657">
        <v>2032</v>
      </c>
      <c r="K216" s="658">
        <v>2033</v>
      </c>
    </row>
    <row r="217" spans="1:16">
      <c r="C217" s="659" t="s">
        <v>1048</v>
      </c>
      <c r="D217" s="660">
        <f t="shared" ref="D217:K221" si="69">D86+D223</f>
        <v>26091206.297049515</v>
      </c>
      <c r="E217" s="660">
        <f t="shared" si="69"/>
        <v>52271330.984614961</v>
      </c>
      <c r="F217" s="660">
        <f t="shared" si="69"/>
        <v>52476910.631518453</v>
      </c>
      <c r="G217" s="660">
        <f t="shared" si="69"/>
        <v>52406749.247271217</v>
      </c>
      <c r="H217" s="660">
        <f t="shared" si="69"/>
        <v>52382525.142149821</v>
      </c>
      <c r="I217" s="660">
        <f t="shared" si="69"/>
        <v>52405908.925010525</v>
      </c>
      <c r="J217" s="660">
        <f t="shared" si="69"/>
        <v>52478677.429764256</v>
      </c>
      <c r="K217" s="660">
        <f t="shared" si="69"/>
        <v>52602719.292455912</v>
      </c>
      <c r="M217" s="22"/>
      <c r="N217" s="22"/>
      <c r="O217" s="22"/>
      <c r="P217" s="22"/>
    </row>
    <row r="218" spans="1:16">
      <c r="C218" s="661" t="s">
        <v>1049</v>
      </c>
      <c r="D218" s="660">
        <f t="shared" si="69"/>
        <v>35768051.453634046</v>
      </c>
      <c r="E218" s="660">
        <f t="shared" si="69"/>
        <v>70487183.27635619</v>
      </c>
      <c r="F218" s="660">
        <f t="shared" si="69"/>
        <v>69571033.251686633</v>
      </c>
      <c r="G218" s="660">
        <f t="shared" si="69"/>
        <v>68313592.977692232</v>
      </c>
      <c r="H218" s="660">
        <f t="shared" si="69"/>
        <v>67088750.687204286</v>
      </c>
      <c r="I218" s="660">
        <f t="shared" si="69"/>
        <v>65895655.62330775</v>
      </c>
      <c r="J218" s="660">
        <f t="shared" si="69"/>
        <v>64733481.35854283</v>
      </c>
      <c r="K218" s="660">
        <f t="shared" si="69"/>
        <v>63601425.134467229</v>
      </c>
      <c r="M218" s="22"/>
      <c r="N218" s="22"/>
      <c r="O218" s="22"/>
      <c r="P218" s="22"/>
    </row>
    <row r="219" spans="1:16">
      <c r="C219" s="661" t="s">
        <v>1050</v>
      </c>
      <c r="D219" s="660">
        <f t="shared" si="69"/>
        <v>89307724.209243432</v>
      </c>
      <c r="E219" s="660">
        <f t="shared" si="69"/>
        <v>179783274.59826142</v>
      </c>
      <c r="F219" s="660">
        <f t="shared" si="69"/>
        <v>181023842.75676367</v>
      </c>
      <c r="G219" s="660">
        <f t="shared" si="69"/>
        <v>182032412.44211185</v>
      </c>
      <c r="H219" s="660">
        <f t="shared" si="69"/>
        <v>183049509.17742452</v>
      </c>
      <c r="I219" s="660">
        <f t="shared" si="69"/>
        <v>184074980.46223938</v>
      </c>
      <c r="J219" s="660">
        <f t="shared" si="69"/>
        <v>185108667.7000654</v>
      </c>
      <c r="K219" s="660">
        <f t="shared" si="69"/>
        <v>186150406.22178817</v>
      </c>
      <c r="M219" s="22"/>
      <c r="N219" s="22"/>
      <c r="O219" s="22"/>
      <c r="P219" s="22"/>
    </row>
    <row r="220" spans="1:16">
      <c r="C220" s="662" t="s">
        <v>1051</v>
      </c>
      <c r="D220" s="660">
        <f t="shared" si="69"/>
        <v>113875535.92288314</v>
      </c>
      <c r="E220" s="660">
        <f t="shared" si="69"/>
        <v>226612988.40068299</v>
      </c>
      <c r="F220" s="660">
        <f t="shared" si="69"/>
        <v>225540707.74212775</v>
      </c>
      <c r="G220" s="660">
        <f t="shared" si="69"/>
        <v>224156526.06159896</v>
      </c>
      <c r="H220" s="660">
        <f t="shared" si="69"/>
        <v>222763949.86475357</v>
      </c>
      <c r="I220" s="660">
        <f t="shared" si="69"/>
        <v>221363129.96512422</v>
      </c>
      <c r="J220" s="660">
        <f t="shared" si="69"/>
        <v>219954223.28602371</v>
      </c>
      <c r="K220" s="660">
        <f t="shared" si="69"/>
        <v>218537392.83632067</v>
      </c>
      <c r="M220" s="22"/>
      <c r="N220" s="22"/>
      <c r="O220" s="22"/>
      <c r="P220" s="22"/>
    </row>
    <row r="221" spans="1:16">
      <c r="C221" s="663" t="s">
        <v>1030</v>
      </c>
      <c r="D221" s="660">
        <f t="shared" si="69"/>
        <v>37313415.81773407</v>
      </c>
      <c r="E221" s="660">
        <f t="shared" si="69"/>
        <v>77154133.29885</v>
      </c>
      <c r="F221" s="660">
        <f t="shared" si="69"/>
        <v>80041754.548331723</v>
      </c>
      <c r="G221" s="660">
        <f t="shared" si="69"/>
        <v>81782261.137082398</v>
      </c>
      <c r="H221" s="660">
        <f t="shared" si="69"/>
        <v>83560277.85402821</v>
      </c>
      <c r="I221" s="660">
        <f t="shared" si="69"/>
        <v>85376616.988416955</v>
      </c>
      <c r="J221" s="660">
        <f t="shared" si="69"/>
        <v>87232108.595379978</v>
      </c>
      <c r="K221" s="660">
        <f t="shared" si="69"/>
        <v>89127600.885569394</v>
      </c>
      <c r="M221" s="22"/>
      <c r="N221" s="22"/>
      <c r="O221" s="22"/>
      <c r="P221" s="22"/>
    </row>
    <row r="222" spans="1:16">
      <c r="C222" s="663" t="s">
        <v>1060</v>
      </c>
      <c r="D222" s="660">
        <f t="shared" ref="D222:K222" si="70">SUM(D217:D221)</f>
        <v>302355933.70054418</v>
      </c>
      <c r="E222" s="660">
        <f t="shared" si="70"/>
        <v>606308910.55876553</v>
      </c>
      <c r="F222" s="660">
        <f t="shared" si="70"/>
        <v>608654248.93042827</v>
      </c>
      <c r="G222" s="660">
        <f t="shared" si="70"/>
        <v>608691541.86575663</v>
      </c>
      <c r="H222" s="660">
        <f t="shared" si="70"/>
        <v>608845012.72556043</v>
      </c>
      <c r="I222" s="660">
        <f t="shared" si="70"/>
        <v>609116291.96409881</v>
      </c>
      <c r="J222" s="660">
        <f t="shared" si="70"/>
        <v>609507158.36977613</v>
      </c>
      <c r="K222" s="660">
        <f t="shared" si="70"/>
        <v>610019544.37060142</v>
      </c>
      <c r="M222" s="22"/>
      <c r="N222" s="22"/>
      <c r="O222" s="22"/>
      <c r="P222" s="22"/>
    </row>
    <row r="223" spans="1:16">
      <c r="C223" s="659" t="s">
        <v>1160</v>
      </c>
      <c r="D223" s="660">
        <f t="shared" ref="D223:K227" si="71">D$228*D109</f>
        <v>40460.708158712492</v>
      </c>
      <c r="E223" s="660">
        <f t="shared" si="71"/>
        <v>320108.64350586414</v>
      </c>
      <c r="F223" s="660">
        <f t="shared" si="71"/>
        <v>633097.15307693521</v>
      </c>
      <c r="G223" s="660">
        <f t="shared" si="71"/>
        <v>626011.2194478591</v>
      </c>
      <c r="H223" s="660">
        <f t="shared" si="71"/>
        <v>618959.69740603701</v>
      </c>
      <c r="I223" s="660">
        <f t="shared" si="71"/>
        <v>611942.72276284511</v>
      </c>
      <c r="J223" s="660">
        <f t="shared" si="71"/>
        <v>604960.35979435011</v>
      </c>
      <c r="K223" s="660">
        <f t="shared" si="71"/>
        <v>598012.60514924244</v>
      </c>
      <c r="M223" s="22"/>
      <c r="N223" s="22"/>
      <c r="O223" s="22"/>
      <c r="P223" s="22"/>
    </row>
    <row r="224" spans="1:16">
      <c r="C224" s="661" t="s">
        <v>1161</v>
      </c>
      <c r="D224" s="660">
        <f t="shared" si="71"/>
        <v>46509.543902480546</v>
      </c>
      <c r="E224" s="660">
        <f t="shared" si="71"/>
        <v>374763.99871003348</v>
      </c>
      <c r="F224" s="660">
        <f t="shared" si="71"/>
        <v>755127.1012957592</v>
      </c>
      <c r="G224" s="660">
        <f t="shared" si="71"/>
        <v>760964.73939331248</v>
      </c>
      <c r="H224" s="660">
        <f t="shared" si="71"/>
        <v>767056.1011955326</v>
      </c>
      <c r="I224" s="660">
        <f t="shared" si="71"/>
        <v>773416.8485612591</v>
      </c>
      <c r="J224" s="660">
        <f t="shared" si="71"/>
        <v>780063.12357742013</v>
      </c>
      <c r="K224" s="660">
        <f t="shared" si="71"/>
        <v>787011.55596996495</v>
      </c>
      <c r="M224" s="22"/>
      <c r="N224" s="22"/>
      <c r="O224" s="22"/>
      <c r="P224" s="22"/>
    </row>
    <row r="225" spans="3:16">
      <c r="C225" s="661" t="s">
        <v>1162</v>
      </c>
      <c r="D225" s="660">
        <f t="shared" si="71"/>
        <v>29815.396581257748</v>
      </c>
      <c r="E225" s="660">
        <f t="shared" si="71"/>
        <v>240671.91179623039</v>
      </c>
      <c r="F225" s="660">
        <f t="shared" si="71"/>
        <v>485589.51326682302</v>
      </c>
      <c r="G225" s="660">
        <f t="shared" si="71"/>
        <v>489780.8309122661</v>
      </c>
      <c r="H225" s="660">
        <f t="shared" si="71"/>
        <v>493915.12922181556</v>
      </c>
      <c r="I225" s="660">
        <f t="shared" si="71"/>
        <v>497989.69667142868</v>
      </c>
      <c r="J225" s="660">
        <f t="shared" si="71"/>
        <v>502001.75736266549</v>
      </c>
      <c r="K225" s="660">
        <f t="shared" si="71"/>
        <v>505948.47104055539</v>
      </c>
      <c r="M225" s="22"/>
      <c r="N225" s="22"/>
      <c r="O225" s="22"/>
      <c r="P225" s="22"/>
    </row>
    <row r="226" spans="3:16">
      <c r="C226" s="662" t="s">
        <v>1163</v>
      </c>
      <c r="D226" s="660">
        <f t="shared" si="71"/>
        <v>38017.364057885301</v>
      </c>
      <c r="E226" s="660">
        <f t="shared" si="71"/>
        <v>303361.81871267781</v>
      </c>
      <c r="F226" s="660">
        <f t="shared" si="71"/>
        <v>605004.29571320955</v>
      </c>
      <c r="G226" s="660">
        <f t="shared" si="71"/>
        <v>603120.99431067263</v>
      </c>
      <c r="H226" s="660">
        <f t="shared" si="71"/>
        <v>601075.00740013656</v>
      </c>
      <c r="I226" s="660">
        <f t="shared" si="71"/>
        <v>598867.68787778786</v>
      </c>
      <c r="J226" s="660">
        <f t="shared" si="71"/>
        <v>596500.46646024787</v>
      </c>
      <c r="K226" s="660">
        <f t="shared" si="71"/>
        <v>593974.85084716429</v>
      </c>
      <c r="M226" s="22"/>
      <c r="N226" s="22"/>
      <c r="O226" s="22"/>
      <c r="P226" s="22"/>
    </row>
    <row r="227" spans="3:16">
      <c r="C227" s="663" t="s">
        <v>1164</v>
      </c>
      <c r="D227" s="660">
        <f t="shared" si="71"/>
        <v>145948.39401841388</v>
      </c>
      <c r="E227" s="660">
        <f t="shared" si="71"/>
        <v>1183829.8847751939</v>
      </c>
      <c r="F227" s="660">
        <f t="shared" si="71"/>
        <v>2400104.4591472731</v>
      </c>
      <c r="G227" s="660">
        <f t="shared" si="71"/>
        <v>2432494.7459358899</v>
      </c>
      <c r="H227" s="660">
        <f t="shared" si="71"/>
        <v>2464816.6022764775</v>
      </c>
      <c r="I227" s="660">
        <f t="shared" si="71"/>
        <v>2497055.5891266796</v>
      </c>
      <c r="J227" s="660">
        <f t="shared" si="71"/>
        <v>2529196.8453053152</v>
      </c>
      <c r="K227" s="660">
        <f t="shared" si="71"/>
        <v>2561225.0769930738</v>
      </c>
      <c r="M227" s="22"/>
      <c r="N227" s="22"/>
      <c r="O227" s="22"/>
      <c r="P227" s="22"/>
    </row>
    <row r="228" spans="3:16">
      <c r="C228" s="663" t="s">
        <v>1165</v>
      </c>
      <c r="D228" s="660">
        <f>($F$39*D79)*$F$42/2*(1+D80)</f>
        <v>300751.40671874996</v>
      </c>
      <c r="E228" s="660">
        <f t="shared" ref="E228:K228" si="72">($F$39*E79)*$F$42*(1+E80)</f>
        <v>2422736.2574999998</v>
      </c>
      <c r="F228" s="660">
        <f t="shared" si="72"/>
        <v>4878922.5225</v>
      </c>
      <c r="G228" s="660">
        <f t="shared" si="72"/>
        <v>4912372.53</v>
      </c>
      <c r="H228" s="660">
        <f t="shared" si="72"/>
        <v>4945822.5374999996</v>
      </c>
      <c r="I228" s="660">
        <f t="shared" si="72"/>
        <v>4979272.5449999999</v>
      </c>
      <c r="J228" s="660">
        <f t="shared" si="72"/>
        <v>5012722.5524999993</v>
      </c>
      <c r="K228" s="660">
        <f t="shared" si="72"/>
        <v>5046172.5600000005</v>
      </c>
      <c r="M228" s="22"/>
      <c r="N228" s="22"/>
      <c r="O228" s="22"/>
      <c r="P228" s="22"/>
    </row>
    <row r="229" spans="3:16">
      <c r="C229" s="663" t="s">
        <v>1067</v>
      </c>
      <c r="D229" s="660">
        <f t="shared" ref="D229:K233" si="73">D102+D236</f>
        <v>521634613.9954161</v>
      </c>
      <c r="E229" s="660">
        <f t="shared" si="73"/>
        <v>1053760370.0608735</v>
      </c>
      <c r="F229" s="660">
        <f t="shared" si="73"/>
        <v>1066585007.4483922</v>
      </c>
      <c r="G229" s="660">
        <f t="shared" si="73"/>
        <v>1070099083.3385991</v>
      </c>
      <c r="H229" s="660">
        <f t="shared" si="73"/>
        <v>1073767301.7651589</v>
      </c>
      <c r="I229" s="660">
        <f t="shared" si="73"/>
        <v>1077590484.8351374</v>
      </c>
      <c r="J229" s="660">
        <f t="shared" si="73"/>
        <v>1081569484.3699574</v>
      </c>
      <c r="K229" s="660">
        <f t="shared" si="73"/>
        <v>1085705182.2405739</v>
      </c>
      <c r="M229" s="22"/>
      <c r="N229" s="22"/>
      <c r="O229" s="22"/>
      <c r="P229" s="22"/>
    </row>
    <row r="230" spans="3:16">
      <c r="C230" s="663" t="s">
        <v>1068</v>
      </c>
      <c r="D230" s="660">
        <f t="shared" si="73"/>
        <v>599618471.46882248</v>
      </c>
      <c r="E230" s="660">
        <f t="shared" si="73"/>
        <v>1233679433.4606686</v>
      </c>
      <c r="F230" s="660">
        <f t="shared" si="73"/>
        <v>1272170062.7551951</v>
      </c>
      <c r="G230" s="660">
        <f t="shared" si="73"/>
        <v>1300787661.2754605</v>
      </c>
      <c r="H230" s="660">
        <f t="shared" si="73"/>
        <v>1330683990.468159</v>
      </c>
      <c r="I230" s="660">
        <f t="shared" si="73"/>
        <v>1361935694.0106649</v>
      </c>
      <c r="J230" s="660">
        <f t="shared" si="73"/>
        <v>1394624386.0183716</v>
      </c>
      <c r="K230" s="660">
        <f t="shared" si="73"/>
        <v>1428836980.0943666</v>
      </c>
      <c r="M230" s="22"/>
      <c r="N230" s="22"/>
      <c r="O230" s="22"/>
      <c r="P230" s="22"/>
    </row>
    <row r="231" spans="3:16">
      <c r="C231" s="663" t="s">
        <v>1069</v>
      </c>
      <c r="D231" s="660">
        <f t="shared" si="73"/>
        <v>384391267.34452939</v>
      </c>
      <c r="E231" s="660">
        <f t="shared" si="73"/>
        <v>792263901.5931716</v>
      </c>
      <c r="F231" s="660">
        <f t="shared" si="73"/>
        <v>818077434.25694501</v>
      </c>
      <c r="G231" s="660">
        <f t="shared" si="73"/>
        <v>837227835.40253651</v>
      </c>
      <c r="H231" s="660">
        <f t="shared" si="73"/>
        <v>856840789.19534171</v>
      </c>
      <c r="I231" s="660">
        <f t="shared" si="73"/>
        <v>876926775.52607381</v>
      </c>
      <c r="J231" s="660">
        <f t="shared" si="73"/>
        <v>897496460.83938575</v>
      </c>
      <c r="K231" s="660">
        <f t="shared" si="73"/>
        <v>918560699.59986496</v>
      </c>
      <c r="M231" s="22"/>
      <c r="N231" s="22"/>
      <c r="O231" s="22"/>
      <c r="P231" s="22"/>
    </row>
    <row r="232" spans="3:16">
      <c r="C232" s="663" t="s">
        <v>1070</v>
      </c>
      <c r="D232" s="660">
        <f t="shared" si="73"/>
        <v>490134106.09789133</v>
      </c>
      <c r="E232" s="660">
        <f t="shared" si="73"/>
        <v>998631773.41275036</v>
      </c>
      <c r="F232" s="660">
        <f t="shared" si="73"/>
        <v>1019256694.0372359</v>
      </c>
      <c r="G232" s="660">
        <f t="shared" si="73"/>
        <v>1030970696.8564498</v>
      </c>
      <c r="H232" s="660">
        <f t="shared" si="73"/>
        <v>1042741056.5814693</v>
      </c>
      <c r="I232" s="660">
        <f t="shared" si="73"/>
        <v>1054566216.9471025</v>
      </c>
      <c r="J232" s="660">
        <f t="shared" si="73"/>
        <v>1066444588.4605788</v>
      </c>
      <c r="K232" s="660">
        <f t="shared" si="73"/>
        <v>1078374549.5204051</v>
      </c>
      <c r="M232" s="22"/>
      <c r="N232" s="22"/>
      <c r="O232" s="22"/>
      <c r="P232" s="22"/>
    </row>
    <row r="233" spans="3:16">
      <c r="C233" s="663" t="s">
        <v>1071</v>
      </c>
      <c r="D233" s="660">
        <f t="shared" si="73"/>
        <v>1881621396.2051628</v>
      </c>
      <c r="E233" s="660">
        <f t="shared" si="73"/>
        <v>3897030095.1807218</v>
      </c>
      <c r="F233" s="660">
        <f t="shared" si="73"/>
        <v>4043479614.455678</v>
      </c>
      <c r="G233" s="660">
        <f t="shared" si="73"/>
        <v>4158089051.7390494</v>
      </c>
      <c r="H233" s="660">
        <f t="shared" si="73"/>
        <v>4275947987.3472061</v>
      </c>
      <c r="I233" s="660">
        <f t="shared" si="73"/>
        <v>4397149018.7818012</v>
      </c>
      <c r="J233" s="660">
        <f t="shared" si="73"/>
        <v>4521787392.44485</v>
      </c>
      <c r="K233" s="660">
        <f t="shared" si="73"/>
        <v>4649961079.4690886</v>
      </c>
      <c r="M233" s="22"/>
      <c r="N233" s="22"/>
      <c r="O233" s="22"/>
      <c r="P233" s="22"/>
    </row>
    <row r="234" spans="3:16">
      <c r="C234" s="663" t="s">
        <v>1072</v>
      </c>
      <c r="D234" s="660">
        <f>SUM(D229:D233)</f>
        <v>3877399855.1118221</v>
      </c>
      <c r="E234" s="660">
        <f>SUM(E229:E233)</f>
        <v>7975365573.7081852</v>
      </c>
      <c r="F234" s="660">
        <f t="shared" ref="F234" si="74">SUM(F229:F233)</f>
        <v>8219568812.9534464</v>
      </c>
      <c r="G234" s="660">
        <f t="shared" ref="G234" si="75">SUM(G229:G233)</f>
        <v>8397174328.6120949</v>
      </c>
      <c r="H234" s="660">
        <f t="shared" ref="H234" si="76">SUM(H229:H233)</f>
        <v>8579981125.3573351</v>
      </c>
      <c r="I234" s="660">
        <f t="shared" ref="I234" si="77">SUM(I229:I233)</f>
        <v>8768168190.1007805</v>
      </c>
      <c r="J234" s="660">
        <f t="shared" ref="J234" si="78">SUM(J229:J233)</f>
        <v>8961922312.1331444</v>
      </c>
      <c r="K234" s="660">
        <f t="shared" ref="K234" si="79">SUM(K229:K233)</f>
        <v>9161438490.9242992</v>
      </c>
      <c r="M234" s="22"/>
      <c r="N234" s="22"/>
      <c r="O234" s="22"/>
      <c r="P234" s="22"/>
    </row>
    <row r="235" spans="3:16">
      <c r="C235" s="663" t="s">
        <v>1073</v>
      </c>
      <c r="D235" s="660">
        <f t="shared" ref="D235:K235" si="80">D242+D108</f>
        <v>15014097802.453623</v>
      </c>
      <c r="E235" s="660">
        <f t="shared" si="80"/>
        <v>30184385996.02314</v>
      </c>
      <c r="F235" s="660">
        <f t="shared" si="80"/>
        <v>30323272440.768253</v>
      </c>
      <c r="G235" s="660">
        <f t="shared" si="80"/>
        <v>30535264818.136864</v>
      </c>
      <c r="H235" s="660">
        <f t="shared" si="80"/>
        <v>30748746028.422703</v>
      </c>
      <c r="I235" s="660">
        <f t="shared" si="80"/>
        <v>30963726479.221581</v>
      </c>
      <c r="J235" s="660">
        <f t="shared" si="80"/>
        <v>31180216650.882973</v>
      </c>
      <c r="K235" s="660">
        <f t="shared" si="80"/>
        <v>31398227097.018597</v>
      </c>
      <c r="M235" s="22"/>
      <c r="N235" s="22"/>
      <c r="O235" s="22"/>
      <c r="P235" s="22"/>
    </row>
    <row r="236" spans="3:16">
      <c r="C236" s="663" t="s">
        <v>1166</v>
      </c>
      <c r="D236" s="660">
        <f t="shared" ref="D236:K240" si="81">D$241*D109</f>
        <v>1196208.1043216554</v>
      </c>
      <c r="E236" s="660">
        <f t="shared" si="81"/>
        <v>9463911.3117616586</v>
      </c>
      <c r="F236" s="660">
        <f t="shared" si="81"/>
        <v>18717318.104342747</v>
      </c>
      <c r="G236" s="660">
        <f t="shared" si="81"/>
        <v>18507824.706438366</v>
      </c>
      <c r="H236" s="660">
        <f t="shared" si="81"/>
        <v>18299348.676282328</v>
      </c>
      <c r="I236" s="660">
        <f t="shared" si="81"/>
        <v>18091894.029095232</v>
      </c>
      <c r="J236" s="660">
        <f t="shared" si="81"/>
        <v>17885462.665178765</v>
      </c>
      <c r="K236" s="660">
        <f t="shared" si="81"/>
        <v>17680054.485452514</v>
      </c>
      <c r="M236" s="22"/>
      <c r="N236" s="22"/>
      <c r="O236" s="22"/>
      <c r="P236" s="22"/>
    </row>
    <row r="237" spans="3:16">
      <c r="C237" s="663" t="s">
        <v>1171</v>
      </c>
      <c r="D237" s="660">
        <f t="shared" si="81"/>
        <v>1375040.0296063786</v>
      </c>
      <c r="E237" s="660">
        <f t="shared" si="81"/>
        <v>11079779.689135274</v>
      </c>
      <c r="F237" s="660">
        <f t="shared" si="81"/>
        <v>22325095.122399621</v>
      </c>
      <c r="G237" s="660">
        <f t="shared" si="81"/>
        <v>22497683.055734802</v>
      </c>
      <c r="H237" s="660">
        <f t="shared" si="81"/>
        <v>22677772.250555333</v>
      </c>
      <c r="I237" s="660">
        <f t="shared" si="81"/>
        <v>22865825.744789254</v>
      </c>
      <c r="J237" s="660">
        <f t="shared" si="81"/>
        <v>23062320.774156906</v>
      </c>
      <c r="K237" s="660">
        <f t="shared" si="81"/>
        <v>23267748.991272859</v>
      </c>
      <c r="M237" s="22"/>
      <c r="N237" s="22"/>
      <c r="O237" s="22"/>
      <c r="P237" s="22"/>
    </row>
    <row r="238" spans="3:16">
      <c r="C238" s="663" t="s">
        <v>1172</v>
      </c>
      <c r="D238" s="660">
        <f t="shared" si="81"/>
        <v>881482.81745742972</v>
      </c>
      <c r="E238" s="660">
        <f t="shared" si="81"/>
        <v>7115389.3363392511</v>
      </c>
      <c r="F238" s="660">
        <f t="shared" si="81"/>
        <v>14356301.151844831</v>
      </c>
      <c r="G238" s="660">
        <f t="shared" si="81"/>
        <v>14480216.139086245</v>
      </c>
      <c r="H238" s="660">
        <f t="shared" si="81"/>
        <v>14602445.367605109</v>
      </c>
      <c r="I238" s="660">
        <f t="shared" si="81"/>
        <v>14722908.672046382</v>
      </c>
      <c r="J238" s="660">
        <f t="shared" si="81"/>
        <v>14841523.983846216</v>
      </c>
      <c r="K238" s="660">
        <f t="shared" si="81"/>
        <v>14958207.331760194</v>
      </c>
      <c r="M238" s="22"/>
      <c r="N238" s="22"/>
      <c r="O238" s="22"/>
      <c r="P238" s="22"/>
    </row>
    <row r="239" spans="3:16">
      <c r="C239" s="663" t="s">
        <v>1167</v>
      </c>
      <c r="D239" s="660">
        <f t="shared" si="81"/>
        <v>1123971.4048652069</v>
      </c>
      <c r="E239" s="660">
        <f t="shared" si="81"/>
        <v>8968796.7067309339</v>
      </c>
      <c r="F239" s="660">
        <f t="shared" si="81"/>
        <v>17886761.616793856</v>
      </c>
      <c r="G239" s="660">
        <f t="shared" si="81"/>
        <v>17831082.403475147</v>
      </c>
      <c r="H239" s="660">
        <f t="shared" si="81"/>
        <v>17770593.444307182</v>
      </c>
      <c r="I239" s="660">
        <f t="shared" si="81"/>
        <v>17705334.737239983</v>
      </c>
      <c r="J239" s="660">
        <f t="shared" si="81"/>
        <v>17635348.580960229</v>
      </c>
      <c r="K239" s="660">
        <f t="shared" si="81"/>
        <v>17560679.550133556</v>
      </c>
      <c r="M239" s="22"/>
      <c r="N239" s="22"/>
      <c r="O239" s="22"/>
      <c r="P239" s="22"/>
    </row>
    <row r="240" spans="3:16">
      <c r="C240" s="663" t="s">
        <v>1168</v>
      </c>
      <c r="D240" s="660">
        <f t="shared" si="81"/>
        <v>4314918.3413381064</v>
      </c>
      <c r="E240" s="660">
        <f t="shared" si="81"/>
        <v>34999558.009498782</v>
      </c>
      <c r="F240" s="660">
        <f t="shared" si="81"/>
        <v>70958333.057062119</v>
      </c>
      <c r="G240" s="660">
        <f t="shared" si="81"/>
        <v>71915941.69321999</v>
      </c>
      <c r="H240" s="660">
        <f t="shared" si="81"/>
        <v>72871527.204715922</v>
      </c>
      <c r="I240" s="660">
        <f t="shared" si="81"/>
        <v>73824662.705806419</v>
      </c>
      <c r="J240" s="660">
        <f t="shared" si="81"/>
        <v>74774908.83034648</v>
      </c>
      <c r="K240" s="660">
        <f t="shared" si="81"/>
        <v>75721813.421380892</v>
      </c>
      <c r="M240" s="22"/>
      <c r="N240" s="22"/>
      <c r="O240" s="22"/>
      <c r="P240" s="22"/>
    </row>
    <row r="241" spans="3:16">
      <c r="C241" s="663" t="s">
        <v>1169</v>
      </c>
      <c r="D241" s="660">
        <f t="shared" ref="D241:K241" si="82">D228*$F$43</f>
        <v>8891620.6975887772</v>
      </c>
      <c r="E241" s="660">
        <f t="shared" si="82"/>
        <v>71627435.053465903</v>
      </c>
      <c r="F241" s="660">
        <f t="shared" si="82"/>
        <v>144243809.05244318</v>
      </c>
      <c r="G241" s="660">
        <f t="shared" si="82"/>
        <v>145232747.99795455</v>
      </c>
      <c r="H241" s="660">
        <f t="shared" si="82"/>
        <v>146221686.94346589</v>
      </c>
      <c r="I241" s="660">
        <f t="shared" si="82"/>
        <v>147210625.88897726</v>
      </c>
      <c r="J241" s="660">
        <f t="shared" si="82"/>
        <v>148199564.8344886</v>
      </c>
      <c r="K241" s="660">
        <f t="shared" si="82"/>
        <v>149188503.78</v>
      </c>
      <c r="M241" s="22"/>
      <c r="N241" s="22"/>
      <c r="O241" s="22"/>
      <c r="P241" s="22"/>
    </row>
    <row r="242" spans="3:16">
      <c r="C242" s="663" t="s">
        <v>1170</v>
      </c>
      <c r="D242" s="660">
        <f>-(D241)</f>
        <v>-8891620.6975887772</v>
      </c>
      <c r="E242" s="660">
        <f t="shared" ref="E242:K242" si="83">-(E241)</f>
        <v>-71627435.053465903</v>
      </c>
      <c r="F242" s="660">
        <f t="shared" si="83"/>
        <v>-144243809.05244318</v>
      </c>
      <c r="G242" s="660">
        <f t="shared" si="83"/>
        <v>-145232747.99795455</v>
      </c>
      <c r="H242" s="660">
        <f t="shared" si="83"/>
        <v>-146221686.94346589</v>
      </c>
      <c r="I242" s="660">
        <f t="shared" si="83"/>
        <v>-147210625.88897726</v>
      </c>
      <c r="J242" s="660">
        <f t="shared" si="83"/>
        <v>-148199564.8344886</v>
      </c>
      <c r="K242" s="660">
        <f t="shared" si="83"/>
        <v>-149188503.78</v>
      </c>
      <c r="M242" s="22"/>
      <c r="N242" s="22"/>
      <c r="O242" s="22"/>
      <c r="P242" s="22"/>
    </row>
    <row r="243" spans="3:16">
      <c r="C243" s="662" t="s">
        <v>1055</v>
      </c>
      <c r="D243" s="665">
        <f t="shared" ref="D243:K247" si="84">D217*D97</f>
        <v>20920599.293283328</v>
      </c>
      <c r="E243" s="665">
        <f t="shared" si="84"/>
        <v>41392543.680593029</v>
      </c>
      <c r="F243" s="665">
        <f t="shared" si="84"/>
        <v>41006231.522225477</v>
      </c>
      <c r="G243" s="665">
        <f t="shared" si="84"/>
        <v>40375855.384152591</v>
      </c>
      <c r="H243" s="665">
        <f t="shared" si="84"/>
        <v>39754766.765147723</v>
      </c>
      <c r="I243" s="665">
        <f t="shared" si="84"/>
        <v>39142833.704643726</v>
      </c>
      <c r="J243" s="665">
        <f t="shared" si="84"/>
        <v>38539927.924330197</v>
      </c>
      <c r="K243" s="665">
        <f t="shared" si="84"/>
        <v>37945924.794567242</v>
      </c>
      <c r="M243" s="22"/>
      <c r="N243" s="22"/>
      <c r="O243" s="22"/>
      <c r="P243" s="22"/>
    </row>
    <row r="244" spans="3:16">
      <c r="C244" s="663" t="s">
        <v>1056</v>
      </c>
      <c r="D244" s="665">
        <f t="shared" si="84"/>
        <v>22263176.265837483</v>
      </c>
      <c r="E244" s="665">
        <f t="shared" si="84"/>
        <v>44024197.737817079</v>
      </c>
      <c r="F244" s="665">
        <f t="shared" si="84"/>
        <v>43595341.043624312</v>
      </c>
      <c r="G244" s="665">
        <f t="shared" si="84"/>
        <v>42942719.859173924</v>
      </c>
      <c r="H244" s="665">
        <f t="shared" si="84"/>
        <v>42300253.740764067</v>
      </c>
      <c r="I244" s="665">
        <f t="shared" si="84"/>
        <v>41667798.461363845</v>
      </c>
      <c r="J244" s="665">
        <f t="shared" si="84"/>
        <v>41045212.415063038</v>
      </c>
      <c r="K244" s="665">
        <f t="shared" si="84"/>
        <v>40432356.576414257</v>
      </c>
      <c r="M244" s="22"/>
      <c r="N244" s="22"/>
      <c r="O244" s="22"/>
      <c r="P244" s="22"/>
    </row>
    <row r="245" spans="3:16">
      <c r="C245" s="663" t="s">
        <v>1057</v>
      </c>
      <c r="D245" s="665">
        <f t="shared" si="84"/>
        <v>19846977.037146427</v>
      </c>
      <c r="E245" s="665">
        <f t="shared" si="84"/>
        <v>39590173.90840207</v>
      </c>
      <c r="F245" s="665">
        <f t="shared" si="84"/>
        <v>39500871.839049652</v>
      </c>
      <c r="G245" s="665">
        <f t="shared" si="84"/>
        <v>39359756.638166629</v>
      </c>
      <c r="H245" s="665">
        <f t="shared" si="84"/>
        <v>39219768.590368509</v>
      </c>
      <c r="I245" s="665">
        <f t="shared" si="84"/>
        <v>39080849.87455187</v>
      </c>
      <c r="J245" s="665">
        <f t="shared" si="84"/>
        <v>38942943.08540187</v>
      </c>
      <c r="K245" s="665">
        <f t="shared" si="84"/>
        <v>38805991.261071168</v>
      </c>
      <c r="M245" s="22"/>
      <c r="N245" s="22"/>
      <c r="O245" s="22"/>
      <c r="P245" s="22"/>
    </row>
    <row r="246" spans="3:16">
      <c r="C246" s="663" t="s">
        <v>1059</v>
      </c>
      <c r="D246" s="665">
        <f t="shared" si="84"/>
        <v>25306715.254090909</v>
      </c>
      <c r="E246" s="665">
        <f t="shared" si="84"/>
        <v>49902570.974600002</v>
      </c>
      <c r="F246" s="665">
        <f t="shared" si="84"/>
        <v>49214813.117082991</v>
      </c>
      <c r="G246" s="665">
        <f t="shared" si="84"/>
        <v>48467996.420401856</v>
      </c>
      <c r="H246" s="665">
        <f t="shared" si="84"/>
        <v>47728893.692382485</v>
      </c>
      <c r="I246" s="665">
        <f t="shared" si="84"/>
        <v>46997474.769269839</v>
      </c>
      <c r="J246" s="665">
        <f t="shared" si="84"/>
        <v>46273709.952364206</v>
      </c>
      <c r="K246" s="665">
        <f t="shared" si="84"/>
        <v>45557569.971238241</v>
      </c>
      <c r="M246" s="22"/>
      <c r="N246" s="22"/>
      <c r="O246" s="22"/>
      <c r="P246" s="22"/>
    </row>
    <row r="247" spans="3:16">
      <c r="C247" s="664" t="s">
        <v>1058</v>
      </c>
      <c r="D247" s="665">
        <f t="shared" si="84"/>
        <v>57428342.424409181</v>
      </c>
      <c r="E247" s="665">
        <f t="shared" si="84"/>
        <v>119980287.39724255</v>
      </c>
      <c r="F247" s="665">
        <f t="shared" si="84"/>
        <v>125764111.90579452</v>
      </c>
      <c r="G247" s="665">
        <f t="shared" si="84"/>
        <v>129834069.49146584</v>
      </c>
      <c r="H247" s="665">
        <f t="shared" si="84"/>
        <v>134035197.55823965</v>
      </c>
      <c r="I247" s="665">
        <f t="shared" si="84"/>
        <v>138371724.32618141</v>
      </c>
      <c r="J247" s="665">
        <f t="shared" si="84"/>
        <v>142848014.67111662</v>
      </c>
      <c r="K247" s="665">
        <f t="shared" si="84"/>
        <v>147468574.55357739</v>
      </c>
      <c r="M247" s="22"/>
      <c r="N247" s="22"/>
      <c r="O247" s="22"/>
      <c r="P247" s="22"/>
    </row>
    <row r="248" spans="3:16">
      <c r="C248" s="666" t="s">
        <v>1061</v>
      </c>
      <c r="D248" s="672">
        <f t="shared" ref="D248:K248" si="85">SUM(D243:D247)</f>
        <v>145765810.27476734</v>
      </c>
      <c r="E248" s="672">
        <f t="shared" si="85"/>
        <v>294889773.69865471</v>
      </c>
      <c r="F248" s="672">
        <f t="shared" si="85"/>
        <v>299081369.42777693</v>
      </c>
      <c r="G248" s="672">
        <f t="shared" si="85"/>
        <v>300980397.79336083</v>
      </c>
      <c r="H248" s="672">
        <f t="shared" si="85"/>
        <v>303038880.34690243</v>
      </c>
      <c r="I248" s="672">
        <f t="shared" si="85"/>
        <v>305260681.13601071</v>
      </c>
      <c r="J248" s="672">
        <f t="shared" si="85"/>
        <v>307649808.04827595</v>
      </c>
      <c r="K248" s="672">
        <f t="shared" si="85"/>
        <v>310210417.15686834</v>
      </c>
      <c r="M248" s="22"/>
      <c r="N248" s="22"/>
      <c r="O248" s="22"/>
      <c r="P248" s="22"/>
    </row>
    <row r="249" spans="3:16">
      <c r="C249" s="661" t="s">
        <v>1085</v>
      </c>
      <c r="D249" s="660">
        <f t="shared" ref="D249:K249" si="86">D218*$F$51</f>
        <v>357680514.53634048</v>
      </c>
      <c r="E249" s="660">
        <f t="shared" si="86"/>
        <v>704871832.76356196</v>
      </c>
      <c r="F249" s="660">
        <f t="shared" si="86"/>
        <v>695710332.51686633</v>
      </c>
      <c r="G249" s="660">
        <f t="shared" si="86"/>
        <v>683135929.77692235</v>
      </c>
      <c r="H249" s="660">
        <f t="shared" si="86"/>
        <v>670887506.87204289</v>
      </c>
      <c r="I249" s="660">
        <f t="shared" si="86"/>
        <v>658956556.23307753</v>
      </c>
      <c r="J249" s="660">
        <f t="shared" si="86"/>
        <v>647334813.58542824</v>
      </c>
      <c r="K249" s="660">
        <f t="shared" si="86"/>
        <v>636014251.34467232</v>
      </c>
      <c r="M249" s="22"/>
      <c r="N249" s="22"/>
      <c r="O249" s="22"/>
      <c r="P249" s="22"/>
    </row>
    <row r="250" spans="3:16">
      <c r="C250" s="661" t="s">
        <v>1086</v>
      </c>
      <c r="D250" s="660">
        <f t="shared" ref="D250:K250" si="87">D220*$F$51</f>
        <v>1138755359.2288313</v>
      </c>
      <c r="E250" s="660">
        <f t="shared" si="87"/>
        <v>2266129884.0068297</v>
      </c>
      <c r="F250" s="660">
        <f t="shared" si="87"/>
        <v>2255407077.4212775</v>
      </c>
      <c r="G250" s="660">
        <f t="shared" si="87"/>
        <v>2241565260.6159897</v>
      </c>
      <c r="H250" s="660">
        <f t="shared" si="87"/>
        <v>2227639498.6475358</v>
      </c>
      <c r="I250" s="660">
        <f t="shared" si="87"/>
        <v>2213631299.6512423</v>
      </c>
      <c r="J250" s="660">
        <f t="shared" si="87"/>
        <v>2199542232.8602371</v>
      </c>
      <c r="K250" s="660">
        <f t="shared" si="87"/>
        <v>2185373928.3632069</v>
      </c>
      <c r="M250" s="22"/>
      <c r="N250" s="22"/>
      <c r="O250" s="22"/>
      <c r="P250" s="22"/>
    </row>
    <row r="251" spans="3:16">
      <c r="C251" s="671" t="s">
        <v>1084</v>
      </c>
      <c r="D251" s="673">
        <f t="shared" ref="D251:K251" si="88">D249*$H$36+D250*$H$37</f>
        <v>2598626.1780062909</v>
      </c>
      <c r="E251" s="673">
        <f t="shared" si="88"/>
        <v>5159494.3723376067</v>
      </c>
      <c r="F251" s="673">
        <f t="shared" si="88"/>
        <v>5125148.9722681269</v>
      </c>
      <c r="G251" s="673">
        <f t="shared" si="88"/>
        <v>5079538.1374205519</v>
      </c>
      <c r="H251" s="673">
        <f t="shared" si="88"/>
        <v>5034336.3814455858</v>
      </c>
      <c r="I251" s="673">
        <f t="shared" si="88"/>
        <v>4989531.8356420128</v>
      </c>
      <c r="J251" s="673">
        <f t="shared" si="88"/>
        <v>4945113.1527598277</v>
      </c>
      <c r="K251" s="673">
        <f t="shared" si="88"/>
        <v>4901069.4953187536</v>
      </c>
      <c r="M251" s="22"/>
      <c r="N251" s="22"/>
      <c r="O251" s="22"/>
      <c r="P251" s="22"/>
    </row>
    <row r="252" spans="3:16">
      <c r="C252" s="729" t="s">
        <v>879</v>
      </c>
      <c r="D252" s="660">
        <f t="shared" ref="D252:K252" si="89">(D218+D220+D221)*$F$44*$F$45*D$78</f>
        <v>888419.67917908193</v>
      </c>
      <c r="E252" s="660">
        <f t="shared" si="89"/>
        <v>3556912.9144908506</v>
      </c>
      <c r="F252" s="660">
        <f t="shared" si="89"/>
        <v>5348188.232448834</v>
      </c>
      <c r="G252" s="660">
        <f t="shared" si="89"/>
        <v>7113789.2423925092</v>
      </c>
      <c r="H252" s="660">
        <f t="shared" si="89"/>
        <v>8872292.3669262305</v>
      </c>
      <c r="I252" s="660">
        <f t="shared" si="89"/>
        <v>10624580.598271118</v>
      </c>
      <c r="J252" s="660">
        <f t="shared" si="89"/>
        <v>12371540.667613583</v>
      </c>
      <c r="K252" s="660">
        <f t="shared" si="89"/>
        <v>14114064.179243281</v>
      </c>
      <c r="M252" s="22"/>
      <c r="N252" s="22"/>
      <c r="O252" s="22"/>
      <c r="P252" s="22"/>
    </row>
    <row r="253" spans="3:16">
      <c r="C253" s="661" t="s">
        <v>1075</v>
      </c>
      <c r="D253" s="665">
        <f t="shared" ref="D253:K253" si="90">(D229+D230+D231+D232)*$F$5</f>
        <v>33081808.228372473</v>
      </c>
      <c r="E253" s="665">
        <f t="shared" si="90"/>
        <v>67602048.508693352</v>
      </c>
      <c r="F253" s="665">
        <f t="shared" si="90"/>
        <v>69222403.615361467</v>
      </c>
      <c r="G253" s="665">
        <f t="shared" si="90"/>
        <v>70266619.808120728</v>
      </c>
      <c r="H253" s="665">
        <f t="shared" si="90"/>
        <v>71343188.541183919</v>
      </c>
      <c r="I253" s="665">
        <f t="shared" si="90"/>
        <v>72453541.796082139</v>
      </c>
      <c r="J253" s="665">
        <f t="shared" si="90"/>
        <v>73599196.977853507</v>
      </c>
      <c r="K253" s="668">
        <f t="shared" si="90"/>
        <v>74781762.417737216</v>
      </c>
      <c r="L253" s="591"/>
      <c r="M253" s="22"/>
      <c r="N253" s="22"/>
      <c r="O253" s="22"/>
      <c r="P253" s="22"/>
    </row>
    <row r="254" spans="3:16">
      <c r="C254" s="661" t="s">
        <v>1062</v>
      </c>
      <c r="D254" s="665">
        <f t="shared" ref="D254:K254" si="91">D235*$F$6</f>
        <v>895568704.31222594</v>
      </c>
      <c r="E254" s="665">
        <f t="shared" si="91"/>
        <v>1800453934.2018211</v>
      </c>
      <c r="F254" s="665">
        <f t="shared" si="91"/>
        <v>1808738304.998086</v>
      </c>
      <c r="G254" s="665">
        <f t="shared" si="91"/>
        <v>1821383336.4360089</v>
      </c>
      <c r="H254" s="665">
        <f t="shared" si="91"/>
        <v>1834117174.5531051</v>
      </c>
      <c r="I254" s="665">
        <f t="shared" si="91"/>
        <v>1846940440.1470556</v>
      </c>
      <c r="J254" s="665">
        <f t="shared" si="91"/>
        <v>1859853758.3551893</v>
      </c>
      <c r="K254" s="665">
        <f t="shared" si="91"/>
        <v>1872857758.6848197</v>
      </c>
      <c r="L254" s="591"/>
      <c r="M254" s="22"/>
      <c r="N254" s="22"/>
      <c r="O254" s="22"/>
      <c r="P254" s="22"/>
    </row>
    <row r="255" spans="3:16">
      <c r="C255" s="666" t="s">
        <v>1063</v>
      </c>
      <c r="D255" s="672">
        <f t="shared" ref="D255:K255" si="92">SUM(D253:D254)</f>
        <v>928650512.54059839</v>
      </c>
      <c r="E255" s="672">
        <f t="shared" si="92"/>
        <v>1868055982.7105145</v>
      </c>
      <c r="F255" s="672">
        <f t="shared" si="92"/>
        <v>1877960708.6134474</v>
      </c>
      <c r="G255" s="672">
        <f t="shared" si="92"/>
        <v>1891649956.2441297</v>
      </c>
      <c r="H255" s="672">
        <f t="shared" si="92"/>
        <v>1905460363.0942891</v>
      </c>
      <c r="I255" s="672">
        <f t="shared" si="92"/>
        <v>1919393981.9431376</v>
      </c>
      <c r="J255" s="672">
        <f t="shared" si="92"/>
        <v>1933452955.3330429</v>
      </c>
      <c r="K255" s="674">
        <f t="shared" si="92"/>
        <v>1947639521.1025569</v>
      </c>
      <c r="L255" s="591"/>
      <c r="M255" s="22"/>
      <c r="N255" s="22"/>
      <c r="O255" s="22"/>
      <c r="P255" s="22"/>
    </row>
    <row r="256" spans="3:16">
      <c r="C256" s="661" t="s">
        <v>1074</v>
      </c>
      <c r="D256" s="665">
        <f>(D229+D230+D231+D232)*$F$7*'B_03 Súhrn-vstupy a projekcie'!M$126+(D229+D230+D231+D232)*$F$9*'B_03 Súhrn-vstupy a projekcie'!M$125</f>
        <v>20715633.13039289</v>
      </c>
      <c r="E256" s="665">
        <f>(E229+E230+E231+E232)*$F$7*'B_03 Súhrn-vstupy a projekcie'!N$126+(E229+E230+E231+E232)*$F$9*'B_03 Súhrn-vstupy a projekcie'!N$125</f>
        <v>42016675.041715853</v>
      </c>
      <c r="F256" s="665">
        <f>(F229+F230+F231+F232)*$F$7*'B_03 Súhrn-vstupy a projekcie'!O$126+(F229+F230+F231+F232)*$F$9*'B_03 Súhrn-vstupy a projekcie'!O$125</f>
        <v>42643754.105246842</v>
      </c>
      <c r="G256" s="665">
        <f>(G229+G230+G231+G232)*$F$7*'B_03 Súhrn-vstupy a projekcie'!P$126+(G229+G230+G231+G232)*$F$9*'B_03 Súhrn-vstupy a projekcie'!P$125</f>
        <v>42845666.901895665</v>
      </c>
      <c r="H256" s="665">
        <f>(H229+H230+H231+H232)*$F$7*'B_03 Súhrn-vstupy a projekcie'!Q$126+(H229+H230+H231+H232)*$F$9*'B_03 Súhrn-vstupy a projekcie'!Q$125</f>
        <v>42999873.788405657</v>
      </c>
      <c r="I256" s="665">
        <f>(I229+I230+I231+I232)*$F$7*'B_03 Súhrn-vstupy a projekcie'!R$126+(I229+I230+I231+I232)*$F$9*'B_03 Súhrn-vstupy a projekcie'!R$125</f>
        <v>43093123.538087949</v>
      </c>
      <c r="J256" s="665">
        <f>(J229+J230+J231+J232)*$F$7*'B_03 Súhrn-vstupy a projekcie'!S$126+(J229+J230+J231+J232)*$F$9*'B_03 Súhrn-vstupy a projekcie'!S$125</f>
        <v>43111938.322474368</v>
      </c>
      <c r="K256" s="665">
        <f>(K229+K230+K231+K232)*$F$7*'B_03 Súhrn-vstupy a projekcie'!T$126+(K229+K230+K231+K232)*$F$9*'B_03 Súhrn-vstupy a projekcie'!T$125</f>
        <v>43042575.297536783</v>
      </c>
      <c r="L256" s="591"/>
    </row>
    <row r="257" spans="3:16">
      <c r="C257" s="661" t="s">
        <v>1076</v>
      </c>
      <c r="D257" s="665">
        <f>D235*$F$8*'B_03 Súhrn-vstupy a projekcie'!M$126+D235*$F$9*'B_03 Súhrn-vstupy a projekcie'!M$125</f>
        <v>126731136.79528917</v>
      </c>
      <c r="E257" s="665">
        <f>E235*$F$8*'B_03 Súhrn-vstupy a projekcie'!N$126+E235*$F$9*'B_03 Súhrn-vstupy a projekcie'!N$125</f>
        <v>252882799.18726578</v>
      </c>
      <c r="F257" s="665">
        <f>F235*$F$8*'B_03 Súhrn-vstupy a projekcie'!O$126+F235*$F$9*'B_03 Súhrn-vstupy a projekcie'!O$125</f>
        <v>251802444.35459906</v>
      </c>
      <c r="G257" s="665">
        <f>G235*$F$8*'B_03 Súhrn-vstupy a projekcie'!P$126+G235*$F$9*'B_03 Súhrn-vstupy a projekcie'!P$125</f>
        <v>250977422.18887797</v>
      </c>
      <c r="H257" s="665">
        <f>H235*$F$8*'B_03 Súhrn-vstupy a projekcie'!Q$126+H235*$F$9*'B_03 Súhrn-vstupy a projekcie'!Q$125</f>
        <v>249814241.71598166</v>
      </c>
      <c r="I257" s="665">
        <f>I235*$F$8*'B_03 Súhrn-vstupy a projekcie'!R$126+I235*$F$9*'B_03 Súhrn-vstupy a projekcie'!R$125</f>
        <v>248242819.47277427</v>
      </c>
      <c r="J257" s="665">
        <f>J235*$F$8*'B_03 Súhrn-vstupy a projekcie'!S$126+J235*$F$9*'B_03 Súhrn-vstupy a projekcie'!S$125</f>
        <v>246194711.99396196</v>
      </c>
      <c r="K257" s="665">
        <f>K235*$F$8*'B_03 Súhrn-vstupy a projekcie'!T$126+K235*$F$9*'B_03 Súhrn-vstupy a projekcie'!T$125</f>
        <v>243603092.13656542</v>
      </c>
      <c r="L257" s="591"/>
    </row>
    <row r="258" spans="3:16">
      <c r="C258" s="666" t="s">
        <v>1079</v>
      </c>
      <c r="D258" s="672">
        <f t="shared" ref="D258:K258" si="93">SUM(D256:D257)</f>
        <v>147446769.92568207</v>
      </c>
      <c r="E258" s="672">
        <f t="shared" si="93"/>
        <v>294899474.22898161</v>
      </c>
      <c r="F258" s="672">
        <f t="shared" si="93"/>
        <v>294446198.4598459</v>
      </c>
      <c r="G258" s="672">
        <f t="shared" si="93"/>
        <v>293823089.09077364</v>
      </c>
      <c r="H258" s="672">
        <f t="shared" si="93"/>
        <v>292814115.50438732</v>
      </c>
      <c r="I258" s="672">
        <f t="shared" si="93"/>
        <v>291335943.01086223</v>
      </c>
      <c r="J258" s="672">
        <f t="shared" si="93"/>
        <v>289306650.31643635</v>
      </c>
      <c r="K258" s="674">
        <f t="shared" si="93"/>
        <v>286645667.43410218</v>
      </c>
      <c r="L258" s="591"/>
    </row>
    <row r="259" spans="3:16">
      <c r="C259" s="661" t="s">
        <v>1077</v>
      </c>
      <c r="D259" s="665">
        <f>(D229+D230+D231+D232)*$F$10*'B_03 Súhrn-vstupy a projekcie'!M$126+(D229+D230+D231+D232)*$F$12*'B_03 Súhrn-vstupy a projekcie'!M$125</f>
        <v>6635935.4385048049</v>
      </c>
      <c r="E259" s="665">
        <f>(E229+E230+E231+E232)*$F$10*'B_03 Súhrn-vstupy a projekcie'!N$126+(E229+E230+E231+E232)*$F$12*'B_03 Súhrn-vstupy a projekcie'!N$125</f>
        <v>13556611.388434304</v>
      </c>
      <c r="F259" s="665">
        <f>(F229+F230+F231+F232)*$F$10*'B_03 Súhrn-vstupy a projekcie'!O$126+(F229+F230+F231+F232)*$F$12*'B_03 Súhrn-vstupy a projekcie'!O$125</f>
        <v>13876974.176300213</v>
      </c>
      <c r="G259" s="665">
        <f>(G229+G230+G231+G232)*$F$10*'B_03 Súhrn-vstupy a projekcie'!P$126+(G229+G230+G231+G232)*$F$12*'B_03 Súhrn-vstupy a projekcie'!P$125</f>
        <v>14080992.931519298</v>
      </c>
      <c r="H259" s="665">
        <f>(H229+H230+H231+H232)*$F$10*'B_03 Súhrn-vstupy a projekcie'!Q$126+(H229+H230+H231+H232)*$F$12*'B_03 Súhrn-vstupy a projekcie'!Q$125</f>
        <v>14290682.947598269</v>
      </c>
      <c r="I259" s="665">
        <f>(I229+I230+I231+I232)*$F$10*'B_03 Súhrn-vstupy a projekcie'!R$126+(I229+I230+I231+I232)*$F$12*'B_03 Súhrn-vstupy a projekcie'!R$125</f>
        <v>14506161.107874723</v>
      </c>
      <c r="J259" s="665">
        <f>(J229+J230+J231+J232)*$F$10*'B_03 Súhrn-vstupy a projekcie'!S$126+(J229+J230+J231+J232)*$F$12*'B_03 Súhrn-vstupy a projekcie'!S$125</f>
        <v>14727558.058224902</v>
      </c>
      <c r="K259" s="665">
        <f>(K229+K230+K231+K232)*$F$10*'B_03 Súhrn-vstupy a projekcie'!T$126+(K229+K230+K231+K232)*$F$12*'B_03 Súhrn-vstupy a projekcie'!T$125</f>
        <v>14955018.806812624</v>
      </c>
      <c r="L259" s="591"/>
    </row>
    <row r="260" spans="3:16">
      <c r="C260" s="661" t="s">
        <v>1078</v>
      </c>
      <c r="D260" s="665">
        <f>D235*$F$11*'B_03 Súhrn-vstupy a projekcie'!M$126+D235*$F$13*'B_03 Súhrn-vstupy a projekcie'!M$125</f>
        <v>81035595.016052663</v>
      </c>
      <c r="E260" s="665">
        <f>E235*$F$11*'B_03 Súhrn-vstupy a projekcie'!N$126+E235*$F$13*'B_03 Súhrn-vstupy a projekcie'!N$125</f>
        <v>162875758.41594356</v>
      </c>
      <c r="F260" s="665">
        <f>F235*$F$11*'B_03 Súhrn-vstupy a projekcie'!O$126+F235*$F$13*'B_03 Súhrn-vstupy a projekcie'!O$125</f>
        <v>163579745.83353773</v>
      </c>
      <c r="G260" s="665">
        <f>G235*$F$11*'B_03 Súhrn-vstupy a projekcie'!P$126+G235*$F$13*'B_03 Súhrn-vstupy a projekcie'!P$125</f>
        <v>164670981.41139054</v>
      </c>
      <c r="H260" s="665">
        <f>H235*$F$11*'B_03 Súhrn-vstupy a projekcie'!Q$126+H235*$F$13*'B_03 Súhrn-vstupy a projekcie'!Q$125</f>
        <v>165763149.25226569</v>
      </c>
      <c r="I260" s="665">
        <f>I235*$F$11*'B_03 Súhrn-vstupy a projekcie'!R$126+I235*$F$13*'B_03 Súhrn-vstupy a projekcie'!R$125</f>
        <v>166854884.31416652</v>
      </c>
      <c r="J260" s="665">
        <f>J235*$F$11*'B_03 Súhrn-vstupy a projekcie'!S$126+J235*$F$13*'B_03 Súhrn-vstupy a projekcie'!S$125</f>
        <v>167944855.15103444</v>
      </c>
      <c r="K260" s="665">
        <f>K235*$F$11*'B_03 Súhrn-vstupy a projekcie'!T$126+K235*$F$13*'B_03 Súhrn-vstupy a projekcie'!T$125</f>
        <v>169031763.43589458</v>
      </c>
      <c r="L260" s="591"/>
    </row>
    <row r="261" spans="3:16">
      <c r="C261" s="666" t="s">
        <v>1080</v>
      </c>
      <c r="D261" s="672">
        <f t="shared" ref="D261:K261" si="94">SUM(D259:D260)</f>
        <v>87671530.454557464</v>
      </c>
      <c r="E261" s="672">
        <f t="shared" si="94"/>
        <v>176432369.80437785</v>
      </c>
      <c r="F261" s="672">
        <f t="shared" si="94"/>
        <v>177456720.00983793</v>
      </c>
      <c r="G261" s="672">
        <f t="shared" si="94"/>
        <v>178751974.34290984</v>
      </c>
      <c r="H261" s="672">
        <f t="shared" si="94"/>
        <v>180053832.19986397</v>
      </c>
      <c r="I261" s="672">
        <f t="shared" si="94"/>
        <v>181361045.42204124</v>
      </c>
      <c r="J261" s="672">
        <f t="shared" si="94"/>
        <v>182672413.20925933</v>
      </c>
      <c r="K261" s="674">
        <f t="shared" si="94"/>
        <v>183986782.24270719</v>
      </c>
      <c r="L261" s="591"/>
    </row>
    <row r="262" spans="3:16">
      <c r="C262" s="661" t="s">
        <v>1081</v>
      </c>
      <c r="D262" s="665">
        <f>(D229+D230+D231+D232)*$F$14*'B_03 Súhrn-vstupy a projekcie'!M$126+(D229+D230+D231+D232)*$F$16*'B_03 Súhrn-vstupy a projekcie'!M$125</f>
        <v>30756218.434254497</v>
      </c>
      <c r="E262" s="665">
        <f>(E229+E230+E231+E232)*$F$14*'B_03 Súhrn-vstupy a projekcie'!N$126+(E229+E230+E231+E232)*$F$16*'B_03 Súhrn-vstupy a projekcie'!N$125</f>
        <v>62386092.324467972</v>
      </c>
      <c r="F262" s="665">
        <f>(F229+F230+F231+F232)*$F$14*'B_03 Súhrn-vstupy a projekcie'!O$126+(F229+F230+F231+F232)*$F$16*'B_03 Súhrn-vstupy a projekcie'!O$125</f>
        <v>63322647.737870216</v>
      </c>
      <c r="G262" s="665">
        <f>(G229+G230+G231+G232)*$F$14*'B_03 Súhrn-vstupy a projekcie'!P$126+(G229+G230+G231+G232)*$F$16*'B_03 Súhrn-vstupy a projekcie'!P$125</f>
        <v>63628884.934448488</v>
      </c>
      <c r="H262" s="665">
        <f>(H229+H230+H231+H232)*$F$14*'B_03 Súhrn-vstupy a projekcie'!Q$126+(H229+H230+H231+H232)*$F$16*'B_03 Súhrn-vstupy a projekcie'!Q$125</f>
        <v>63865265.240965344</v>
      </c>
      <c r="I262" s="665">
        <f>(I229+I230+I231+I232)*$F$14*'B_03 Súhrn-vstupy a projekcie'!R$126+(I229+I230+I231+I232)*$F$16*'B_03 Súhrn-vstupy a projekcie'!R$125</f>
        <v>64012316.958530478</v>
      </c>
      <c r="J262" s="665">
        <f>(J229+J230+J231+J232)*$F$14*'B_03 Súhrn-vstupy a projekcie'!S$126+(J229+J230+J231+J232)*$F$16*'B_03 Súhrn-vstupy a projekcie'!S$125</f>
        <v>64050235.959066182</v>
      </c>
      <c r="K262" s="665">
        <f>(K229+K230+K231+K232)*$F$14*'B_03 Súhrn-vstupy a projekcie'!T$126+(K229+K230+K231+K232)*$F$16*'B_03 Súhrn-vstupy a projekcie'!T$125</f>
        <v>63958829.251190603</v>
      </c>
      <c r="L262" s="591"/>
      <c r="N262" s="22"/>
      <c r="O262" s="22"/>
      <c r="P262" s="22"/>
    </row>
    <row r="263" spans="3:16">
      <c r="C263" s="661" t="s">
        <v>1082</v>
      </c>
      <c r="D263" s="665">
        <f>D235*$F$15*'B_03 Súhrn-vstupy a projekcie'!M$126+D235*$F$17*'B_03 Súhrn-vstupy a projekcie'!M$125</f>
        <v>571426155.74892926</v>
      </c>
      <c r="E263" s="665">
        <f>E235*$F$15*'B_03 Súhrn-vstupy a projekcie'!N$126+E235*$F$17*'B_03 Súhrn-vstupy a projekcie'!N$125</f>
        <v>1140263939.7964966</v>
      </c>
      <c r="F263" s="665">
        <f>F235*$F$15*'B_03 Súhrn-vstupy a projekcie'!O$126+F235*$F$17*'B_03 Súhrn-vstupy a projekcie'!O$125</f>
        <v>1135421688.7739255</v>
      </c>
      <c r="G263" s="665">
        <f>G235*$F$15*'B_03 Súhrn-vstupy a projekcie'!P$126+G235*$F$17*'B_03 Súhrn-vstupy a projekcie'!P$125</f>
        <v>1131735385.3617353</v>
      </c>
      <c r="H263" s="665">
        <f>H235*$F$15*'B_03 Súhrn-vstupy a projekcie'!Q$126+H235*$F$17*'B_03 Súhrn-vstupy a projekcie'!Q$125</f>
        <v>1126528858.0644062</v>
      </c>
      <c r="I263" s="665">
        <f>I235*$F$15*'B_03 Súhrn-vstupy a projekcie'!R$126+I235*$F$17*'B_03 Súhrn-vstupy a projekcie'!R$125</f>
        <v>1119487007.3572795</v>
      </c>
      <c r="J263" s="665">
        <f>J235*$F$15*'B_03 Súhrn-vstupy a projekcie'!S$126+J235*$F$17*'B_03 Súhrn-vstupy a projekcie'!S$125</f>
        <v>1110302107.2804244</v>
      </c>
      <c r="K263" s="665">
        <f>K235*$F$15*'B_03 Súhrn-vstupy a projekcie'!T$126+K235*$F$17*'B_03 Súhrn-vstupy a projekcie'!T$125</f>
        <v>1098673698.9916942</v>
      </c>
      <c r="L263" s="591"/>
      <c r="N263" s="22"/>
      <c r="O263" s="22"/>
      <c r="P263" s="22"/>
    </row>
    <row r="264" spans="3:16">
      <c r="C264" s="667" t="s">
        <v>1083</v>
      </c>
      <c r="D264" s="675">
        <f t="shared" ref="D264:K264" si="95">SUM(D262:D263)</f>
        <v>602182374.18318379</v>
      </c>
      <c r="E264" s="675">
        <f t="shared" si="95"/>
        <v>1202650032.1209645</v>
      </c>
      <c r="F264" s="675">
        <f t="shared" si="95"/>
        <v>1198744336.5117958</v>
      </c>
      <c r="G264" s="675">
        <f t="shared" si="95"/>
        <v>1195364270.2961838</v>
      </c>
      <c r="H264" s="675">
        <f t="shared" si="95"/>
        <v>1190394123.3053715</v>
      </c>
      <c r="I264" s="675">
        <f t="shared" si="95"/>
        <v>1183499324.31581</v>
      </c>
      <c r="J264" s="675">
        <f t="shared" si="95"/>
        <v>1174352343.2394905</v>
      </c>
      <c r="K264" s="676">
        <f t="shared" si="95"/>
        <v>1162632528.2428849</v>
      </c>
      <c r="L264" s="591"/>
      <c r="N264" s="22"/>
      <c r="O264" s="22"/>
      <c r="P264" s="22"/>
    </row>
    <row r="265" spans="3:16">
      <c r="C265" s="599" t="s">
        <v>992</v>
      </c>
      <c r="D265" s="681"/>
      <c r="E265" s="681"/>
      <c r="F265" s="681"/>
      <c r="G265" s="681"/>
      <c r="H265" s="681"/>
      <c r="I265" s="681"/>
      <c r="J265" s="681"/>
      <c r="K265" s="681"/>
      <c r="L265" s="591"/>
      <c r="N265" s="22"/>
      <c r="O265" s="22"/>
      <c r="P265" s="22"/>
    </row>
    <row r="266" spans="3:16">
      <c r="C266" s="678" t="s">
        <v>1153</v>
      </c>
      <c r="D266" s="679">
        <v>2026</v>
      </c>
      <c r="E266" s="679">
        <v>2027</v>
      </c>
      <c r="F266" s="679">
        <v>2028</v>
      </c>
      <c r="G266" s="679">
        <v>2029</v>
      </c>
      <c r="H266" s="679">
        <v>2030</v>
      </c>
      <c r="I266" s="679">
        <v>2031</v>
      </c>
      <c r="J266" s="679">
        <v>2032</v>
      </c>
      <c r="K266" s="680">
        <v>2033</v>
      </c>
      <c r="L266" s="732" t="s">
        <v>203</v>
      </c>
      <c r="M266" s="22"/>
      <c r="N266" s="22"/>
      <c r="O266" s="22"/>
      <c r="P266" s="22"/>
    </row>
    <row r="267" spans="3:16">
      <c r="C267" s="177" t="s">
        <v>416</v>
      </c>
      <c r="D267" s="184">
        <f t="shared" ref="D267:K267" si="96">D248-D129</f>
        <v>301092.32040560246</v>
      </c>
      <c r="E267" s="184">
        <f t="shared" si="96"/>
        <v>2448297.1184219718</v>
      </c>
      <c r="F267" s="184">
        <f t="shared" si="96"/>
        <v>4976992.9524261951</v>
      </c>
      <c r="G267" s="184">
        <f t="shared" si="96"/>
        <v>5058688.1743710041</v>
      </c>
      <c r="H267" s="184">
        <f t="shared" si="96"/>
        <v>5141695.2044799924</v>
      </c>
      <c r="I267" s="184">
        <f t="shared" si="96"/>
        <v>5226029.7079232335</v>
      </c>
      <c r="J267" s="184">
        <f t="shared" si="96"/>
        <v>5311707.6548808813</v>
      </c>
      <c r="K267" s="184">
        <f t="shared" si="96"/>
        <v>5398745.2388583422</v>
      </c>
      <c r="L267" s="682">
        <f t="shared" ref="L267:L273" si="97">SUM(D267:K267)</f>
        <v>33863248.371767223</v>
      </c>
      <c r="M267" s="677"/>
    </row>
    <row r="268" spans="3:16">
      <c r="C268" s="175" t="s">
        <v>875</v>
      </c>
      <c r="D268" s="182">
        <f t="shared" ref="D268:K268" si="98">D139-D251</f>
        <v>777693.96919252817</v>
      </c>
      <c r="E268" s="182">
        <f t="shared" si="98"/>
        <v>1532655.3213170459</v>
      </c>
      <c r="F268" s="182">
        <f t="shared" si="98"/>
        <v>1507073.6675334945</v>
      </c>
      <c r="G268" s="182">
        <f t="shared" si="98"/>
        <v>1493303.8102924349</v>
      </c>
      <c r="H268" s="182">
        <f t="shared" si="98"/>
        <v>1479654.7477614405</v>
      </c>
      <c r="I268" s="182">
        <f t="shared" si="98"/>
        <v>1466122.5415312434</v>
      </c>
      <c r="J268" s="182">
        <f t="shared" si="98"/>
        <v>1452703.3972187173</v>
      </c>
      <c r="K268" s="182">
        <f t="shared" si="98"/>
        <v>1439393.6608172162</v>
      </c>
      <c r="L268" s="682">
        <f t="shared" si="97"/>
        <v>11148601.115664121</v>
      </c>
      <c r="M268" s="677"/>
      <c r="N268" s="22"/>
      <c r="O268" s="22"/>
      <c r="P268" s="22"/>
    </row>
    <row r="269" spans="3:16">
      <c r="C269" s="175" t="s">
        <v>880</v>
      </c>
      <c r="D269" s="182">
        <f t="shared" ref="D269:K269" si="99">D$252*($F$46-$F$47)*AVERAGE($H$36:$H$38)</f>
        <v>272656.59181984642</v>
      </c>
      <c r="E269" s="182">
        <f t="shared" si="99"/>
        <v>1091618.9447325186</v>
      </c>
      <c r="F269" s="182">
        <f t="shared" si="99"/>
        <v>1641362.533997369</v>
      </c>
      <c r="G269" s="182">
        <f t="shared" si="99"/>
        <v>2183226.6610164228</v>
      </c>
      <c r="H269" s="182">
        <f t="shared" si="99"/>
        <v>2722912.4422712382</v>
      </c>
      <c r="I269" s="182">
        <f t="shared" si="99"/>
        <v>3260690.8686631387</v>
      </c>
      <c r="J269" s="182">
        <f t="shared" si="99"/>
        <v>3796834.0785843874</v>
      </c>
      <c r="K269" s="182">
        <f t="shared" si="99"/>
        <v>4331615.7059858833</v>
      </c>
      <c r="L269" s="682">
        <f t="shared" si="97"/>
        <v>19300917.827070802</v>
      </c>
      <c r="M269" s="677"/>
      <c r="N269" s="22"/>
      <c r="O269" s="22"/>
      <c r="P269" s="22"/>
    </row>
    <row r="270" spans="3:16">
      <c r="C270" s="175" t="s">
        <v>417</v>
      </c>
      <c r="D270" s="182">
        <f t="shared" ref="D270:K270" si="100">D142-D255</f>
        <v>454509.08577728271</v>
      </c>
      <c r="E270" s="182">
        <f t="shared" si="100"/>
        <v>3665330.7158820629</v>
      </c>
      <c r="F270" s="182">
        <f t="shared" si="100"/>
        <v>7389157.5085306168</v>
      </c>
      <c r="G270" s="182">
        <f t="shared" si="100"/>
        <v>7447626.9246003628</v>
      </c>
      <c r="H270" s="182">
        <f t="shared" si="100"/>
        <v>7506062.8055741787</v>
      </c>
      <c r="I270" s="182">
        <f t="shared" si="100"/>
        <v>7564458.07543993</v>
      </c>
      <c r="J270" s="182">
        <f t="shared" si="100"/>
        <v>7622805.4513118267</v>
      </c>
      <c r="K270" s="182">
        <f t="shared" si="100"/>
        <v>7681097.4382855892</v>
      </c>
      <c r="L270" s="682">
        <f t="shared" si="97"/>
        <v>49331048.00540185</v>
      </c>
      <c r="M270" s="677"/>
      <c r="N270" s="22"/>
      <c r="O270" s="22"/>
      <c r="P270" s="22"/>
    </row>
    <row r="271" spans="3:16">
      <c r="C271" s="175" t="s">
        <v>418</v>
      </c>
      <c r="D271" s="182">
        <f t="shared" ref="D271:K271" si="101">D145-D258</f>
        <v>27547.559476941824</v>
      </c>
      <c r="E271" s="182">
        <f t="shared" si="101"/>
        <v>222734.61214661598</v>
      </c>
      <c r="F271" s="182">
        <f t="shared" si="101"/>
        <v>449443.0726031065</v>
      </c>
      <c r="G271" s="182">
        <f t="shared" si="101"/>
        <v>452672.11977946758</v>
      </c>
      <c r="H271" s="182">
        <f t="shared" si="101"/>
        <v>455147.22243475914</v>
      </c>
      <c r="I271" s="182">
        <f t="shared" si="101"/>
        <v>456719.53752744198</v>
      </c>
      <c r="J271" s="182">
        <f t="shared" si="101"/>
        <v>457239.31621223688</v>
      </c>
      <c r="K271" s="182">
        <f t="shared" si="101"/>
        <v>456556.36085277796</v>
      </c>
      <c r="L271" s="682">
        <f t="shared" si="97"/>
        <v>2978059.8010333478</v>
      </c>
      <c r="M271" s="677"/>
    </row>
    <row r="272" spans="3:16">
      <c r="C272" s="175" t="s">
        <v>419</v>
      </c>
      <c r="D272" s="182">
        <f t="shared" ref="D272:K272" si="102">D148-D261</f>
        <v>32773.27605189383</v>
      </c>
      <c r="E272" s="182">
        <f t="shared" si="102"/>
        <v>264750.48805558681</v>
      </c>
      <c r="F272" s="182">
        <f t="shared" si="102"/>
        <v>534602.63449564576</v>
      </c>
      <c r="G272" s="182">
        <f t="shared" si="102"/>
        <v>539676.25145369768</v>
      </c>
      <c r="H272" s="182">
        <f t="shared" si="102"/>
        <v>544720.66389873624</v>
      </c>
      <c r="I272" s="182">
        <f t="shared" si="102"/>
        <v>549729.99710100889</v>
      </c>
      <c r="J272" s="182">
        <f t="shared" si="102"/>
        <v>554698.39591324329</v>
      </c>
      <c r="K272" s="182">
        <f t="shared" si="102"/>
        <v>559620.02939388156</v>
      </c>
      <c r="L272" s="682">
        <f t="shared" si="97"/>
        <v>3580571.7363636941</v>
      </c>
      <c r="M272" s="677"/>
    </row>
    <row r="273" spans="1:16">
      <c r="C273" s="589" t="s">
        <v>420</v>
      </c>
      <c r="D273" s="683">
        <f t="shared" ref="D273:K273" si="103">D151-D264</f>
        <v>267879.01963913441</v>
      </c>
      <c r="E273" s="683">
        <f t="shared" si="103"/>
        <v>2145547.2739737034</v>
      </c>
      <c r="F273" s="683">
        <f t="shared" si="103"/>
        <v>4289812.9461705685</v>
      </c>
      <c r="G273" s="683">
        <f t="shared" si="103"/>
        <v>4282305.0125882626</v>
      </c>
      <c r="H273" s="683">
        <f t="shared" si="103"/>
        <v>4268658.2399833202</v>
      </c>
      <c r="I273" s="683">
        <f t="shared" si="103"/>
        <v>4247652.8679234982</v>
      </c>
      <c r="J273" s="683">
        <f t="shared" si="103"/>
        <v>4218093.7503705025</v>
      </c>
      <c r="K273" s="683">
        <f t="shared" si="103"/>
        <v>4178811.0694491863</v>
      </c>
      <c r="L273" s="682">
        <f t="shared" si="97"/>
        <v>27898760.180098176</v>
      </c>
      <c r="M273" s="677"/>
      <c r="N273" s="22"/>
      <c r="O273" s="22"/>
      <c r="P273" s="22"/>
    </row>
    <row r="274" spans="1:16">
      <c r="C274" s="684" t="s">
        <v>203</v>
      </c>
      <c r="D274" s="730">
        <f t="shared" ref="D274:L274" si="104">SUM(D267:D273)</f>
        <v>2134151.8223632299</v>
      </c>
      <c r="E274" s="730">
        <f t="shared" si="104"/>
        <v>11370934.474529505</v>
      </c>
      <c r="F274" s="730">
        <f t="shared" si="104"/>
        <v>20788445.315756995</v>
      </c>
      <c r="G274" s="730">
        <f t="shared" si="104"/>
        <v>21457498.954101652</v>
      </c>
      <c r="H274" s="730">
        <f t="shared" si="104"/>
        <v>22118851.326403666</v>
      </c>
      <c r="I274" s="730">
        <f t="shared" si="104"/>
        <v>22771403.596109495</v>
      </c>
      <c r="J274" s="730">
        <f t="shared" si="104"/>
        <v>23414082.044491798</v>
      </c>
      <c r="K274" s="730">
        <f t="shared" si="104"/>
        <v>24045839.503642876</v>
      </c>
      <c r="L274" s="731">
        <f t="shared" si="104"/>
        <v>148101207.03739923</v>
      </c>
      <c r="M274" s="677"/>
      <c r="N274" s="22"/>
      <c r="O274" s="22"/>
      <c r="P274" s="22"/>
    </row>
    <row r="275" spans="1:16">
      <c r="C275" s="57"/>
      <c r="D275" s="121"/>
      <c r="E275" s="121"/>
      <c r="F275" s="121"/>
      <c r="G275" s="121"/>
      <c r="H275" s="121"/>
      <c r="I275" s="121"/>
      <c r="J275" s="121"/>
      <c r="K275" s="121"/>
      <c r="L275" s="121"/>
      <c r="M275" s="677"/>
      <c r="N275" s="22"/>
      <c r="O275" s="22"/>
      <c r="P275" s="22"/>
    </row>
    <row r="276" spans="1:16">
      <c r="A276" s="125" t="s">
        <v>1259</v>
      </c>
      <c r="B276" s="125"/>
      <c r="M276" s="677"/>
      <c r="N276" s="22"/>
      <c r="O276" s="22"/>
      <c r="P276" s="22"/>
    </row>
    <row r="277" spans="1:16">
      <c r="C277" s="656" t="s">
        <v>529</v>
      </c>
      <c r="D277" s="657">
        <v>2026</v>
      </c>
      <c r="E277" s="657">
        <v>2027</v>
      </c>
      <c r="F277" s="657">
        <v>2028</v>
      </c>
      <c r="G277" s="657">
        <v>2029</v>
      </c>
      <c r="H277" s="657">
        <v>2030</v>
      </c>
      <c r="I277" s="657">
        <v>2031</v>
      </c>
      <c r="J277" s="657">
        <v>2032</v>
      </c>
      <c r="K277" s="658">
        <v>2033</v>
      </c>
      <c r="M277" s="677"/>
      <c r="N277" s="22"/>
      <c r="O277" s="22"/>
      <c r="P277" s="22"/>
    </row>
    <row r="278" spans="1:16">
      <c r="C278" s="659" t="s">
        <v>1048</v>
      </c>
      <c r="D278" s="660">
        <f t="shared" ref="D278:K282" si="105">D86+D284</f>
        <v>26104693.199769087</v>
      </c>
      <c r="E278" s="660">
        <f t="shared" si="105"/>
        <v>52378033.86578358</v>
      </c>
      <c r="F278" s="660">
        <f t="shared" si="105"/>
        <v>52687943.015877433</v>
      </c>
      <c r="G278" s="660">
        <f t="shared" si="105"/>
        <v>52615419.653753839</v>
      </c>
      <c r="H278" s="660">
        <f t="shared" si="105"/>
        <v>52588845.041285165</v>
      </c>
      <c r="I278" s="660">
        <f t="shared" si="105"/>
        <v>52609889.832598142</v>
      </c>
      <c r="J278" s="660">
        <f t="shared" si="105"/>
        <v>52680330.883029044</v>
      </c>
      <c r="K278" s="660">
        <f t="shared" si="105"/>
        <v>52802056.827505663</v>
      </c>
      <c r="M278" s="677"/>
      <c r="N278" s="22"/>
      <c r="O278" s="22"/>
      <c r="P278" s="22"/>
    </row>
    <row r="279" spans="1:16">
      <c r="C279" s="661" t="s">
        <v>1049</v>
      </c>
      <c r="D279" s="660">
        <f t="shared" si="105"/>
        <v>35783554.634934872</v>
      </c>
      <c r="E279" s="660">
        <f t="shared" si="105"/>
        <v>70612104.609259531</v>
      </c>
      <c r="F279" s="660">
        <f t="shared" si="105"/>
        <v>69822742.285451889</v>
      </c>
      <c r="G279" s="660">
        <f t="shared" si="105"/>
        <v>68567247.890823334</v>
      </c>
      <c r="H279" s="660">
        <f t="shared" si="105"/>
        <v>67344436.054269463</v>
      </c>
      <c r="I279" s="660">
        <f t="shared" si="105"/>
        <v>66153461.239494838</v>
      </c>
      <c r="J279" s="660">
        <f t="shared" si="105"/>
        <v>64993502.399735302</v>
      </c>
      <c r="K279" s="660">
        <f t="shared" si="105"/>
        <v>63863762.31979055</v>
      </c>
      <c r="M279" s="677"/>
      <c r="N279" s="22"/>
      <c r="O279" s="22"/>
      <c r="P279" s="22"/>
    </row>
    <row r="280" spans="1:16">
      <c r="C280" s="661" t="s">
        <v>1050</v>
      </c>
      <c r="D280" s="660">
        <f t="shared" si="105"/>
        <v>89317662.674770519</v>
      </c>
      <c r="E280" s="660">
        <f t="shared" si="105"/>
        <v>179863498.56886014</v>
      </c>
      <c r="F280" s="660">
        <f t="shared" si="105"/>
        <v>181185705.9278526</v>
      </c>
      <c r="G280" s="660">
        <f t="shared" si="105"/>
        <v>182195672.71908262</v>
      </c>
      <c r="H280" s="660">
        <f t="shared" si="105"/>
        <v>183214147.55383179</v>
      </c>
      <c r="I280" s="660">
        <f t="shared" si="105"/>
        <v>184240977.02779654</v>
      </c>
      <c r="J280" s="660">
        <f t="shared" si="105"/>
        <v>185276001.61918628</v>
      </c>
      <c r="K280" s="660">
        <f t="shared" si="105"/>
        <v>186319055.71213502</v>
      </c>
    </row>
    <row r="281" spans="1:16">
      <c r="C281" s="662" t="s">
        <v>1051</v>
      </c>
      <c r="D281" s="660">
        <f t="shared" si="105"/>
        <v>113888208.37756909</v>
      </c>
      <c r="E281" s="660">
        <f t="shared" si="105"/>
        <v>226714109.00692055</v>
      </c>
      <c r="F281" s="660">
        <f t="shared" si="105"/>
        <v>225742375.84069881</v>
      </c>
      <c r="G281" s="660">
        <f t="shared" si="105"/>
        <v>224357566.39303583</v>
      </c>
      <c r="H281" s="660">
        <f t="shared" si="105"/>
        <v>222964308.20055363</v>
      </c>
      <c r="I281" s="660">
        <f t="shared" si="105"/>
        <v>221562752.52775016</v>
      </c>
      <c r="J281" s="660">
        <f t="shared" si="105"/>
        <v>220153056.77484378</v>
      </c>
      <c r="K281" s="660">
        <f t="shared" si="105"/>
        <v>218735384.45326972</v>
      </c>
    </row>
    <row r="282" spans="1:16">
      <c r="C282" s="663" t="s">
        <v>1030</v>
      </c>
      <c r="D282" s="660">
        <f t="shared" si="105"/>
        <v>37362065.282406874</v>
      </c>
      <c r="E282" s="660">
        <f t="shared" si="105"/>
        <v>77548743.260441735</v>
      </c>
      <c r="F282" s="660">
        <f t="shared" si="105"/>
        <v>80841789.368047476</v>
      </c>
      <c r="G282" s="660">
        <f t="shared" si="105"/>
        <v>82593092.719061032</v>
      </c>
      <c r="H282" s="660">
        <f t="shared" si="105"/>
        <v>84381883.388120368</v>
      </c>
      <c r="I282" s="660">
        <f t="shared" si="105"/>
        <v>86208968.85145919</v>
      </c>
      <c r="J282" s="660">
        <f t="shared" si="105"/>
        <v>88075174.210481763</v>
      </c>
      <c r="K282" s="660">
        <f t="shared" si="105"/>
        <v>89981342.57790041</v>
      </c>
    </row>
    <row r="283" spans="1:16">
      <c r="C283" s="663" t="s">
        <v>1060</v>
      </c>
      <c r="D283" s="660">
        <f t="shared" ref="D283:K283" si="106">SUM(D278:D282)</f>
        <v>302456184.16945046</v>
      </c>
      <c r="E283" s="660">
        <f t="shared" si="106"/>
        <v>607116489.31126559</v>
      </c>
      <c r="F283" s="660">
        <f t="shared" si="106"/>
        <v>610280556.4379282</v>
      </c>
      <c r="G283" s="660">
        <f t="shared" si="106"/>
        <v>610328999.37575674</v>
      </c>
      <c r="H283" s="660">
        <f t="shared" si="106"/>
        <v>610493620.23806047</v>
      </c>
      <c r="I283" s="660">
        <f t="shared" si="106"/>
        <v>610776049.4790988</v>
      </c>
      <c r="J283" s="660">
        <f t="shared" si="106"/>
        <v>611178065.88727617</v>
      </c>
      <c r="K283" s="660">
        <f t="shared" si="106"/>
        <v>611701601.8906014</v>
      </c>
      <c r="M283" s="22"/>
      <c r="N283" s="22"/>
      <c r="O283" s="22"/>
      <c r="P283" s="22"/>
    </row>
    <row r="284" spans="1:16">
      <c r="C284" s="659" t="s">
        <v>1160</v>
      </c>
      <c r="D284" s="660">
        <f t="shared" ref="D284:K288" si="107">D$289*D109</f>
        <v>53947.610878283325</v>
      </c>
      <c r="E284" s="660">
        <f t="shared" si="107"/>
        <v>426811.52467448561</v>
      </c>
      <c r="F284" s="660">
        <f t="shared" si="107"/>
        <v>844129.53743591357</v>
      </c>
      <c r="G284" s="660">
        <f t="shared" si="107"/>
        <v>834681.6259304788</v>
      </c>
      <c r="H284" s="660">
        <f t="shared" si="107"/>
        <v>825279.59654138272</v>
      </c>
      <c r="I284" s="660">
        <f t="shared" si="107"/>
        <v>815923.6303504603</v>
      </c>
      <c r="J284" s="660">
        <f t="shared" si="107"/>
        <v>806613.81305913348</v>
      </c>
      <c r="K284" s="660">
        <f t="shared" si="107"/>
        <v>797350.14019898977</v>
      </c>
      <c r="M284" s="22"/>
      <c r="N284" s="22"/>
      <c r="O284" s="22"/>
      <c r="P284" s="22"/>
    </row>
    <row r="285" spans="1:16">
      <c r="C285" s="661" t="s">
        <v>1161</v>
      </c>
      <c r="D285" s="660">
        <f t="shared" si="107"/>
        <v>62012.725203307404</v>
      </c>
      <c r="E285" s="660">
        <f t="shared" si="107"/>
        <v>499685.33161337808</v>
      </c>
      <c r="F285" s="660">
        <f t="shared" si="107"/>
        <v>1006836.1350610121</v>
      </c>
      <c r="G285" s="660">
        <f t="shared" si="107"/>
        <v>1014619.6525244166</v>
      </c>
      <c r="H285" s="660">
        <f t="shared" si="107"/>
        <v>1022741.4682607101</v>
      </c>
      <c r="I285" s="660">
        <f t="shared" si="107"/>
        <v>1031222.4647483457</v>
      </c>
      <c r="J285" s="660">
        <f t="shared" si="107"/>
        <v>1040084.1647698935</v>
      </c>
      <c r="K285" s="660">
        <f t="shared" si="107"/>
        <v>1049348.7412932864</v>
      </c>
      <c r="M285" s="22"/>
      <c r="N285" s="22"/>
      <c r="O285" s="22"/>
      <c r="P285" s="22"/>
    </row>
    <row r="286" spans="1:16">
      <c r="C286" s="661" t="s">
        <v>1162</v>
      </c>
      <c r="D286" s="660">
        <f t="shared" si="107"/>
        <v>39753.862108343666</v>
      </c>
      <c r="E286" s="660">
        <f t="shared" si="107"/>
        <v>320895.88239497389</v>
      </c>
      <c r="F286" s="660">
        <f t="shared" si="107"/>
        <v>647452.68435576395</v>
      </c>
      <c r="G286" s="660">
        <f t="shared" si="107"/>
        <v>653041.10788302147</v>
      </c>
      <c r="H286" s="660">
        <f t="shared" si="107"/>
        <v>658553.50562908745</v>
      </c>
      <c r="I286" s="660">
        <f t="shared" si="107"/>
        <v>663986.26222857169</v>
      </c>
      <c r="J286" s="660">
        <f t="shared" si="107"/>
        <v>669335.67648355407</v>
      </c>
      <c r="K286" s="660">
        <f t="shared" si="107"/>
        <v>674597.96138740715</v>
      </c>
      <c r="M286" s="22"/>
      <c r="N286" s="22"/>
      <c r="O286" s="22"/>
      <c r="P286" s="22"/>
    </row>
    <row r="287" spans="1:16">
      <c r="C287" s="662" t="s">
        <v>1163</v>
      </c>
      <c r="D287" s="660">
        <f t="shared" si="107"/>
        <v>50689.818743847078</v>
      </c>
      <c r="E287" s="660">
        <f t="shared" si="107"/>
        <v>404482.42495023715</v>
      </c>
      <c r="F287" s="660">
        <f t="shared" si="107"/>
        <v>806672.39428427932</v>
      </c>
      <c r="G287" s="660">
        <f t="shared" si="107"/>
        <v>804161.3257475635</v>
      </c>
      <c r="H287" s="660">
        <f t="shared" si="107"/>
        <v>801433.34320018219</v>
      </c>
      <c r="I287" s="660">
        <f t="shared" si="107"/>
        <v>798490.25050371722</v>
      </c>
      <c r="J287" s="660">
        <f t="shared" si="107"/>
        <v>795333.9552803305</v>
      </c>
      <c r="K287" s="660">
        <f t="shared" si="107"/>
        <v>791966.46779621893</v>
      </c>
      <c r="M287" s="22"/>
      <c r="N287" s="22"/>
      <c r="O287" s="22"/>
      <c r="P287" s="22"/>
    </row>
    <row r="288" spans="1:16">
      <c r="C288" s="663" t="s">
        <v>1164</v>
      </c>
      <c r="D288" s="660">
        <f t="shared" si="107"/>
        <v>194597.85869121851</v>
      </c>
      <c r="E288" s="660">
        <f t="shared" si="107"/>
        <v>1578439.8463669254</v>
      </c>
      <c r="F288" s="660">
        <f t="shared" si="107"/>
        <v>3200139.2788630305</v>
      </c>
      <c r="G288" s="660">
        <f t="shared" si="107"/>
        <v>3243326.3279145197</v>
      </c>
      <c r="H288" s="660">
        <f t="shared" si="107"/>
        <v>3286422.1363686365</v>
      </c>
      <c r="I288" s="660">
        <f t="shared" si="107"/>
        <v>3329407.4521689061</v>
      </c>
      <c r="J288" s="660">
        <f t="shared" si="107"/>
        <v>3372262.4604070871</v>
      </c>
      <c r="K288" s="660">
        <f t="shared" si="107"/>
        <v>3414966.7693240982</v>
      </c>
      <c r="M288" s="22"/>
      <c r="N288" s="22"/>
      <c r="O288" s="22"/>
      <c r="P288" s="22"/>
    </row>
    <row r="289" spans="3:16">
      <c r="C289" s="663" t="s">
        <v>1165</v>
      </c>
      <c r="D289" s="660">
        <f>($F$39*D82)*$F$42/2*(1+D83)</f>
        <v>401001.87562499999</v>
      </c>
      <c r="E289" s="660">
        <f t="shared" ref="E289:K289" si="108">($F$39*E82)*$F$42*(1+E83)</f>
        <v>3230315.0100000002</v>
      </c>
      <c r="F289" s="660">
        <f t="shared" si="108"/>
        <v>6505230.0299999993</v>
      </c>
      <c r="G289" s="660">
        <f t="shared" si="108"/>
        <v>6549830.04</v>
      </c>
      <c r="H289" s="660">
        <f t="shared" si="108"/>
        <v>6594430.0499999998</v>
      </c>
      <c r="I289" s="660">
        <f t="shared" si="108"/>
        <v>6639030.0600000005</v>
      </c>
      <c r="J289" s="660">
        <f t="shared" si="108"/>
        <v>6683630.0699999994</v>
      </c>
      <c r="K289" s="660">
        <f t="shared" si="108"/>
        <v>6728230.0800000001</v>
      </c>
      <c r="M289" s="22"/>
      <c r="N289" s="22"/>
      <c r="O289" s="22"/>
      <c r="P289" s="22"/>
    </row>
    <row r="290" spans="3:16">
      <c r="C290" s="663" t="s">
        <v>1067</v>
      </c>
      <c r="D290" s="660">
        <f t="shared" ref="D290:K294" si="109">D102+D297</f>
        <v>522033350.03018999</v>
      </c>
      <c r="E290" s="660">
        <f t="shared" si="109"/>
        <v>1056915007.1647941</v>
      </c>
      <c r="F290" s="660">
        <f t="shared" si="109"/>
        <v>1072824113.4831731</v>
      </c>
      <c r="G290" s="660">
        <f t="shared" si="109"/>
        <v>1076268358.2407451</v>
      </c>
      <c r="H290" s="660">
        <f t="shared" si="109"/>
        <v>1079867084.657253</v>
      </c>
      <c r="I290" s="660">
        <f t="shared" si="109"/>
        <v>1083621116.1781693</v>
      </c>
      <c r="J290" s="660">
        <f t="shared" si="109"/>
        <v>1087531305.2583504</v>
      </c>
      <c r="K290" s="660">
        <f t="shared" si="109"/>
        <v>1091598533.7357247</v>
      </c>
      <c r="M290" s="22"/>
      <c r="N290" s="22"/>
      <c r="O290" s="22"/>
      <c r="P290" s="22"/>
    </row>
    <row r="291" spans="3:16">
      <c r="C291" s="663" t="s">
        <v>1068</v>
      </c>
      <c r="D291" s="660">
        <f t="shared" si="109"/>
        <v>600076818.14535797</v>
      </c>
      <c r="E291" s="660">
        <f t="shared" si="109"/>
        <v>1237372693.3570468</v>
      </c>
      <c r="F291" s="660">
        <f t="shared" si="109"/>
        <v>1279611761.1293285</v>
      </c>
      <c r="G291" s="660">
        <f t="shared" si="109"/>
        <v>1308286888.9607053</v>
      </c>
      <c r="H291" s="660">
        <f t="shared" si="109"/>
        <v>1338243247.8850107</v>
      </c>
      <c r="I291" s="660">
        <f t="shared" si="109"/>
        <v>1369557635.9255946</v>
      </c>
      <c r="J291" s="660">
        <f t="shared" si="109"/>
        <v>1402311826.2764239</v>
      </c>
      <c r="K291" s="660">
        <f t="shared" si="109"/>
        <v>1436592896.4247909</v>
      </c>
      <c r="M291" s="22"/>
      <c r="N291" s="22"/>
      <c r="O291" s="22"/>
      <c r="P291" s="22"/>
    </row>
    <row r="292" spans="3:16">
      <c r="C292" s="663" t="s">
        <v>1069</v>
      </c>
      <c r="D292" s="660">
        <f t="shared" si="109"/>
        <v>384685094.9503485</v>
      </c>
      <c r="E292" s="660">
        <f t="shared" si="109"/>
        <v>794635698.03861809</v>
      </c>
      <c r="F292" s="660">
        <f t="shared" si="109"/>
        <v>822862867.97422659</v>
      </c>
      <c r="G292" s="660">
        <f t="shared" si="109"/>
        <v>842054574.1155653</v>
      </c>
      <c r="H292" s="660">
        <f t="shared" si="109"/>
        <v>861708270.98454344</v>
      </c>
      <c r="I292" s="660">
        <f t="shared" si="109"/>
        <v>881834411.75008929</v>
      </c>
      <c r="J292" s="660">
        <f t="shared" si="109"/>
        <v>902443635.50066781</v>
      </c>
      <c r="K292" s="660">
        <f t="shared" si="109"/>
        <v>923546768.71045172</v>
      </c>
      <c r="M292" s="22"/>
      <c r="N292" s="22"/>
      <c r="O292" s="22"/>
      <c r="P292" s="22"/>
    </row>
    <row r="293" spans="3:16">
      <c r="C293" s="663" t="s">
        <v>1070</v>
      </c>
      <c r="D293" s="660">
        <f t="shared" si="109"/>
        <v>490508763.23284638</v>
      </c>
      <c r="E293" s="660">
        <f t="shared" si="109"/>
        <v>1001621372.314994</v>
      </c>
      <c r="F293" s="660">
        <f t="shared" si="109"/>
        <v>1025218947.9095005</v>
      </c>
      <c r="G293" s="660">
        <f t="shared" si="109"/>
        <v>1036914390.9909415</v>
      </c>
      <c r="H293" s="660">
        <f t="shared" si="109"/>
        <v>1048664587.7295717</v>
      </c>
      <c r="I293" s="660">
        <f t="shared" si="109"/>
        <v>1060467995.1928493</v>
      </c>
      <c r="J293" s="660">
        <f t="shared" si="109"/>
        <v>1072323037.9875655</v>
      </c>
      <c r="K293" s="660">
        <f t="shared" si="109"/>
        <v>1084228109.3704495</v>
      </c>
      <c r="M293" s="22"/>
      <c r="N293" s="22"/>
      <c r="O293" s="22"/>
      <c r="P293" s="22"/>
    </row>
    <row r="294" spans="3:16">
      <c r="C294" s="663" t="s">
        <v>1071</v>
      </c>
      <c r="D294" s="660">
        <f t="shared" si="109"/>
        <v>1883059702.3189421</v>
      </c>
      <c r="E294" s="660">
        <f t="shared" si="109"/>
        <v>3908696614.5172215</v>
      </c>
      <c r="F294" s="660">
        <f t="shared" si="109"/>
        <v>4067132392.1413655</v>
      </c>
      <c r="G294" s="660">
        <f t="shared" si="109"/>
        <v>4182061032.3034558</v>
      </c>
      <c r="H294" s="660">
        <f t="shared" si="109"/>
        <v>4300238496.4154453</v>
      </c>
      <c r="I294" s="660">
        <f t="shared" si="109"/>
        <v>4421757239.6837368</v>
      </c>
      <c r="J294" s="660">
        <f t="shared" si="109"/>
        <v>4546712362.054966</v>
      </c>
      <c r="K294" s="660">
        <f t="shared" si="109"/>
        <v>4675201683.9428825</v>
      </c>
      <c r="M294" s="22"/>
      <c r="N294" s="22"/>
      <c r="O294" s="22"/>
      <c r="P294" s="22"/>
    </row>
    <row r="295" spans="3:16">
      <c r="C295" s="663" t="s">
        <v>1072</v>
      </c>
      <c r="D295" s="660">
        <f t="shared" ref="D295:K295" si="110">SUM(D290:D294)</f>
        <v>3880363728.6776848</v>
      </c>
      <c r="E295" s="660">
        <f t="shared" si="110"/>
        <v>7999241385.3926744</v>
      </c>
      <c r="F295" s="660">
        <f t="shared" si="110"/>
        <v>8267650082.6375942</v>
      </c>
      <c r="G295" s="660">
        <f t="shared" si="110"/>
        <v>8445585244.611413</v>
      </c>
      <c r="H295" s="660">
        <f t="shared" si="110"/>
        <v>8628721687.6718254</v>
      </c>
      <c r="I295" s="660">
        <f t="shared" si="110"/>
        <v>8817238398.7304382</v>
      </c>
      <c r="J295" s="660">
        <f t="shared" si="110"/>
        <v>9011322167.0779743</v>
      </c>
      <c r="K295" s="660">
        <f t="shared" si="110"/>
        <v>9211167992.1842995</v>
      </c>
      <c r="M295" s="22"/>
      <c r="N295" s="22"/>
      <c r="O295" s="22"/>
      <c r="P295" s="22"/>
    </row>
    <row r="296" spans="3:16">
      <c r="C296" s="663" t="s">
        <v>1073</v>
      </c>
      <c r="D296" s="660">
        <f t="shared" ref="D296:K296" si="111">D303+D108</f>
        <v>15011133928.887758</v>
      </c>
      <c r="E296" s="660">
        <f t="shared" si="111"/>
        <v>30160510184.338654</v>
      </c>
      <c r="F296" s="660">
        <f t="shared" si="111"/>
        <v>30275191171.084106</v>
      </c>
      <c r="G296" s="660">
        <f t="shared" si="111"/>
        <v>30486853902.137547</v>
      </c>
      <c r="H296" s="660">
        <f t="shared" si="111"/>
        <v>30700005466.108215</v>
      </c>
      <c r="I296" s="660">
        <f t="shared" si="111"/>
        <v>30914656270.591923</v>
      </c>
      <c r="J296" s="660">
        <f t="shared" si="111"/>
        <v>31130816795.938141</v>
      </c>
      <c r="K296" s="660">
        <f t="shared" si="111"/>
        <v>31348497595.758595</v>
      </c>
      <c r="M296" s="22"/>
      <c r="N296" s="22"/>
      <c r="O296" s="22"/>
      <c r="P296" s="22"/>
    </row>
    <row r="297" spans="3:16">
      <c r="C297" s="663" t="s">
        <v>1166</v>
      </c>
      <c r="D297" s="660">
        <f t="shared" ref="D297:K301" si="112">D$302*D109</f>
        <v>1594944.1390955406</v>
      </c>
      <c r="E297" s="660">
        <f t="shared" si="112"/>
        <v>12618548.415682212</v>
      </c>
      <c r="F297" s="660">
        <f t="shared" si="112"/>
        <v>24956424.139123663</v>
      </c>
      <c r="G297" s="660">
        <f t="shared" si="112"/>
        <v>24677099.608584486</v>
      </c>
      <c r="H297" s="660">
        <f t="shared" si="112"/>
        <v>24399131.568376437</v>
      </c>
      <c r="I297" s="660">
        <f t="shared" si="112"/>
        <v>24122525.372126982</v>
      </c>
      <c r="J297" s="660">
        <f t="shared" si="112"/>
        <v>23847283.55357169</v>
      </c>
      <c r="K297" s="660">
        <f t="shared" si="112"/>
        <v>23573405.980603348</v>
      </c>
      <c r="M297" s="22"/>
      <c r="N297" s="22"/>
      <c r="O297" s="22"/>
      <c r="P297" s="22"/>
    </row>
    <row r="298" spans="3:16">
      <c r="C298" s="663" t="s">
        <v>1171</v>
      </c>
      <c r="D298" s="660">
        <f t="shared" si="112"/>
        <v>1833386.7061418381</v>
      </c>
      <c r="E298" s="660">
        <f t="shared" si="112"/>
        <v>14773039.585513698</v>
      </c>
      <c r="F298" s="660">
        <f t="shared" si="112"/>
        <v>29766793.496532824</v>
      </c>
      <c r="G298" s="660">
        <f t="shared" si="112"/>
        <v>29996910.740979735</v>
      </c>
      <c r="H298" s="660">
        <f t="shared" si="112"/>
        <v>30237029.667407114</v>
      </c>
      <c r="I298" s="660">
        <f t="shared" si="112"/>
        <v>30487767.659719009</v>
      </c>
      <c r="J298" s="660">
        <f t="shared" si="112"/>
        <v>30749761.03220921</v>
      </c>
      <c r="K298" s="660">
        <f t="shared" si="112"/>
        <v>31023665.321697146</v>
      </c>
      <c r="M298" s="22"/>
      <c r="N298" s="22"/>
      <c r="O298" s="22"/>
      <c r="P298" s="22"/>
    </row>
    <row r="299" spans="3:16">
      <c r="C299" s="663" t="s">
        <v>1172</v>
      </c>
      <c r="D299" s="660">
        <f t="shared" si="112"/>
        <v>1175310.423276573</v>
      </c>
      <c r="E299" s="660">
        <f t="shared" si="112"/>
        <v>9487185.7817856688</v>
      </c>
      <c r="F299" s="660">
        <f t="shared" si="112"/>
        <v>19141734.869126443</v>
      </c>
      <c r="G299" s="660">
        <f t="shared" si="112"/>
        <v>19306954.852114994</v>
      </c>
      <c r="H299" s="660">
        <f t="shared" si="112"/>
        <v>19469927.156806815</v>
      </c>
      <c r="I299" s="660">
        <f t="shared" si="112"/>
        <v>19630544.896061845</v>
      </c>
      <c r="J299" s="660">
        <f t="shared" si="112"/>
        <v>19788698.645128291</v>
      </c>
      <c r="K299" s="660">
        <f t="shared" si="112"/>
        <v>19944276.442346927</v>
      </c>
      <c r="M299" s="22"/>
      <c r="N299" s="22"/>
      <c r="O299" s="22"/>
      <c r="P299" s="22"/>
    </row>
    <row r="300" spans="3:16">
      <c r="C300" s="663" t="s">
        <v>1167</v>
      </c>
      <c r="D300" s="660">
        <f t="shared" si="112"/>
        <v>1498628.539820276</v>
      </c>
      <c r="E300" s="660">
        <f t="shared" si="112"/>
        <v>11958395.60897458</v>
      </c>
      <c r="F300" s="660">
        <f t="shared" si="112"/>
        <v>23849015.489058476</v>
      </c>
      <c r="G300" s="660">
        <f t="shared" si="112"/>
        <v>23774776.537966866</v>
      </c>
      <c r="H300" s="660">
        <f t="shared" si="112"/>
        <v>23694124.592409581</v>
      </c>
      <c r="I300" s="660">
        <f t="shared" si="112"/>
        <v>23607112.982986648</v>
      </c>
      <c r="J300" s="660">
        <f t="shared" si="112"/>
        <v>23513798.107946973</v>
      </c>
      <c r="K300" s="660">
        <f t="shared" si="112"/>
        <v>23414239.400178075</v>
      </c>
      <c r="M300" s="22"/>
      <c r="N300" s="22"/>
      <c r="O300" s="22"/>
      <c r="P300" s="22"/>
    </row>
    <row r="301" spans="3:16">
      <c r="C301" s="663" t="s">
        <v>1168</v>
      </c>
      <c r="D301" s="660">
        <f t="shared" si="112"/>
        <v>5753224.4551174752</v>
      </c>
      <c r="E301" s="660">
        <f t="shared" si="112"/>
        <v>46666077.345998384</v>
      </c>
      <c r="F301" s="660">
        <f t="shared" si="112"/>
        <v>94611110.742749482</v>
      </c>
      <c r="G301" s="660">
        <f t="shared" si="112"/>
        <v>95887922.257626653</v>
      </c>
      <c r="H301" s="660">
        <f t="shared" si="112"/>
        <v>97162036.272954568</v>
      </c>
      <c r="I301" s="660">
        <f t="shared" si="112"/>
        <v>98432883.607741907</v>
      </c>
      <c r="J301" s="660">
        <f t="shared" si="112"/>
        <v>99699878.440461978</v>
      </c>
      <c r="K301" s="660">
        <f t="shared" si="112"/>
        <v>100962417.89517452</v>
      </c>
      <c r="M301" s="22"/>
      <c r="N301" s="22"/>
      <c r="O301" s="22"/>
      <c r="P301" s="22"/>
    </row>
    <row r="302" spans="3:16">
      <c r="C302" s="663" t="s">
        <v>1169</v>
      </c>
      <c r="D302" s="660">
        <f t="shared" ref="D302:K302" si="113">D289*$F$43</f>
        <v>11855494.263451703</v>
      </c>
      <c r="E302" s="660">
        <f t="shared" si="113"/>
        <v>95503246.737954542</v>
      </c>
      <c r="F302" s="660">
        <f t="shared" si="113"/>
        <v>192325078.73659089</v>
      </c>
      <c r="G302" s="660">
        <f t="shared" si="113"/>
        <v>193643663.99727273</v>
      </c>
      <c r="H302" s="660">
        <f t="shared" si="113"/>
        <v>194962249.25795454</v>
      </c>
      <c r="I302" s="660">
        <f t="shared" si="113"/>
        <v>196280834.51863638</v>
      </c>
      <c r="J302" s="660">
        <f t="shared" si="113"/>
        <v>197599419.77931815</v>
      </c>
      <c r="K302" s="660">
        <f t="shared" si="113"/>
        <v>198918005.03999999</v>
      </c>
      <c r="M302" s="22"/>
      <c r="N302" s="22"/>
      <c r="O302" s="22"/>
      <c r="P302" s="22"/>
    </row>
    <row r="303" spans="3:16">
      <c r="C303" s="663" t="s">
        <v>1170</v>
      </c>
      <c r="D303" s="660">
        <f t="shared" ref="D303:K303" si="114">-(D302)</f>
        <v>-11855494.263451703</v>
      </c>
      <c r="E303" s="660">
        <f t="shared" si="114"/>
        <v>-95503246.737954542</v>
      </c>
      <c r="F303" s="660">
        <f t="shared" si="114"/>
        <v>-192325078.73659089</v>
      </c>
      <c r="G303" s="660">
        <f t="shared" si="114"/>
        <v>-193643663.99727273</v>
      </c>
      <c r="H303" s="660">
        <f t="shared" si="114"/>
        <v>-194962249.25795454</v>
      </c>
      <c r="I303" s="660">
        <f t="shared" si="114"/>
        <v>-196280834.51863638</v>
      </c>
      <c r="J303" s="660">
        <f t="shared" si="114"/>
        <v>-197599419.77931815</v>
      </c>
      <c r="K303" s="660">
        <f t="shared" si="114"/>
        <v>-198918005.03999999</v>
      </c>
      <c r="M303" s="22"/>
      <c r="N303" s="22"/>
      <c r="O303" s="22"/>
      <c r="P303" s="22"/>
    </row>
    <row r="304" spans="3:16">
      <c r="C304" s="662" t="s">
        <v>1055</v>
      </c>
      <c r="D304" s="665">
        <f t="shared" ref="D304:K308" si="115">D278*D97</f>
        <v>20931413.438259661</v>
      </c>
      <c r="E304" s="665">
        <f t="shared" si="115"/>
        <v>41477039.399114475</v>
      </c>
      <c r="F304" s="665">
        <f t="shared" si="115"/>
        <v>41171135.338162273</v>
      </c>
      <c r="G304" s="665">
        <f t="shared" si="115"/>
        <v>40536621.81740991</v>
      </c>
      <c r="H304" s="665">
        <f t="shared" si="115"/>
        <v>39911349.50809256</v>
      </c>
      <c r="I304" s="665">
        <f t="shared" si="115"/>
        <v>39295190.393200539</v>
      </c>
      <c r="J304" s="665">
        <f t="shared" si="115"/>
        <v>38688020.634267837</v>
      </c>
      <c r="K304" s="665">
        <f t="shared" si="115"/>
        <v>38089720.537743151</v>
      </c>
      <c r="M304" s="22"/>
      <c r="N304" s="22"/>
      <c r="O304" s="22"/>
      <c r="P304" s="22"/>
    </row>
    <row r="305" spans="3:16">
      <c r="C305" s="663" t="s">
        <v>1056</v>
      </c>
      <c r="D305" s="665">
        <f t="shared" si="115"/>
        <v>22272825.940448049</v>
      </c>
      <c r="E305" s="665">
        <f t="shared" si="115"/>
        <v>44102219.886040062</v>
      </c>
      <c r="F305" s="665">
        <f t="shared" si="115"/>
        <v>43753069.636371516</v>
      </c>
      <c r="G305" s="665">
        <f t="shared" si="115"/>
        <v>43102170.290642947</v>
      </c>
      <c r="H305" s="665">
        <f t="shared" si="115"/>
        <v>42461466.4000232</v>
      </c>
      <c r="I305" s="665">
        <f t="shared" si="115"/>
        <v>41830816.680939637</v>
      </c>
      <c r="J305" s="665">
        <f t="shared" si="115"/>
        <v>41210082.566399686</v>
      </c>
      <c r="K305" s="665">
        <f t="shared" si="115"/>
        <v>40599128.163651809</v>
      </c>
      <c r="M305" s="22"/>
      <c r="N305" s="22"/>
      <c r="O305" s="22"/>
      <c r="P305" s="22"/>
    </row>
    <row r="306" spans="3:16">
      <c r="C306" s="663" t="s">
        <v>1057</v>
      </c>
      <c r="D306" s="665">
        <f t="shared" si="115"/>
        <v>19849185.675859898</v>
      </c>
      <c r="E306" s="665">
        <f t="shared" si="115"/>
        <v>39607840.073148064</v>
      </c>
      <c r="F306" s="665">
        <f t="shared" si="115"/>
        <v>39536191.696805835</v>
      </c>
      <c r="G306" s="665">
        <f t="shared" si="115"/>
        <v>39395057.41061721</v>
      </c>
      <c r="H306" s="665">
        <f t="shared" si="115"/>
        <v>39255043.63181933</v>
      </c>
      <c r="I306" s="665">
        <f t="shared" si="115"/>
        <v>39116092.506885387</v>
      </c>
      <c r="J306" s="665">
        <f t="shared" si="115"/>
        <v>38978146.597855106</v>
      </c>
      <c r="K306" s="665">
        <f t="shared" si="115"/>
        <v>38841148.910100341</v>
      </c>
      <c r="M306" s="22"/>
      <c r="N306" s="22"/>
      <c r="O306" s="22"/>
      <c r="P306" s="22"/>
    </row>
    <row r="307" spans="3:16">
      <c r="C307" s="663" t="s">
        <v>1059</v>
      </c>
      <c r="D307" s="665">
        <f t="shared" si="115"/>
        <v>25309531.470934227</v>
      </c>
      <c r="E307" s="665">
        <f t="shared" si="115"/>
        <v>49924838.798988082</v>
      </c>
      <c r="F307" s="665">
        <f t="shared" si="115"/>
        <v>49258818.733107753</v>
      </c>
      <c r="G307" s="665">
        <f t="shared" si="115"/>
        <v>48511466.143258646</v>
      </c>
      <c r="H307" s="665">
        <f t="shared" si="115"/>
        <v>47771822.010521881</v>
      </c>
      <c r="I307" s="665">
        <f t="shared" si="115"/>
        <v>47039856.517087854</v>
      </c>
      <c r="J307" s="665">
        <f t="shared" si="115"/>
        <v>46315540.307121761</v>
      </c>
      <c r="K307" s="665">
        <f t="shared" si="115"/>
        <v>45598844.449833445</v>
      </c>
      <c r="M307" s="22"/>
      <c r="N307" s="22"/>
      <c r="O307" s="22"/>
      <c r="P307" s="22"/>
    </row>
    <row r="308" spans="3:16">
      <c r="C308" s="664" t="s">
        <v>1058</v>
      </c>
      <c r="D308" s="665">
        <f t="shared" si="115"/>
        <v>57503217.856067359</v>
      </c>
      <c r="E308" s="665">
        <f t="shared" si="115"/>
        <v>120593934.58083805</v>
      </c>
      <c r="F308" s="665">
        <f t="shared" si="115"/>
        <v>127021151.67413829</v>
      </c>
      <c r="G308" s="665">
        <f t="shared" si="115"/>
        <v>131121311.52288914</v>
      </c>
      <c r="H308" s="665">
        <f t="shared" si="115"/>
        <v>135353097.19793883</v>
      </c>
      <c r="I308" s="665">
        <f t="shared" si="115"/>
        <v>139720734.94053838</v>
      </c>
      <c r="J308" s="665">
        <f t="shared" si="115"/>
        <v>144228587.16092515</v>
      </c>
      <c r="K308" s="665">
        <f t="shared" si="115"/>
        <v>148881156.84182563</v>
      </c>
      <c r="M308" s="22"/>
      <c r="N308" s="22"/>
      <c r="O308" s="22"/>
      <c r="P308" s="22"/>
    </row>
    <row r="309" spans="3:16">
      <c r="C309" s="666" t="s">
        <v>1061</v>
      </c>
      <c r="D309" s="672">
        <f t="shared" ref="D309:K309" si="116">SUM(D304:D308)</f>
        <v>145866174.38156921</v>
      </c>
      <c r="E309" s="672">
        <f t="shared" si="116"/>
        <v>295705872.73812872</v>
      </c>
      <c r="F309" s="672">
        <f t="shared" si="116"/>
        <v>300740367.07858568</v>
      </c>
      <c r="G309" s="672">
        <f t="shared" si="116"/>
        <v>302666627.18481785</v>
      </c>
      <c r="H309" s="672">
        <f t="shared" si="116"/>
        <v>304752778.7483958</v>
      </c>
      <c r="I309" s="672">
        <f t="shared" si="116"/>
        <v>307002691.03865182</v>
      </c>
      <c r="J309" s="672">
        <f t="shared" si="116"/>
        <v>309420377.26656955</v>
      </c>
      <c r="K309" s="672">
        <f t="shared" si="116"/>
        <v>312009998.90315437</v>
      </c>
      <c r="M309" s="22"/>
      <c r="N309" s="22"/>
      <c r="O309" s="22"/>
      <c r="P309" s="22"/>
    </row>
    <row r="310" spans="3:16">
      <c r="C310" s="661" t="s">
        <v>1085</v>
      </c>
      <c r="D310" s="660">
        <f t="shared" ref="D310:K310" si="117">D279*$F$51</f>
        <v>357835546.34934872</v>
      </c>
      <c r="E310" s="660">
        <f t="shared" si="117"/>
        <v>706121046.09259534</v>
      </c>
      <c r="F310" s="660">
        <f t="shared" si="117"/>
        <v>698227422.85451889</v>
      </c>
      <c r="G310" s="660">
        <f t="shared" si="117"/>
        <v>685672478.9082334</v>
      </c>
      <c r="H310" s="660">
        <f t="shared" si="117"/>
        <v>673444360.54269457</v>
      </c>
      <c r="I310" s="660">
        <f t="shared" si="117"/>
        <v>661534612.39494836</v>
      </c>
      <c r="J310" s="660">
        <f t="shared" si="117"/>
        <v>649935023.99735308</v>
      </c>
      <c r="K310" s="660">
        <f t="shared" si="117"/>
        <v>638637623.19790554</v>
      </c>
      <c r="M310" s="22"/>
      <c r="N310" s="22"/>
      <c r="O310" s="22"/>
      <c r="P310" s="22"/>
    </row>
    <row r="311" spans="3:16">
      <c r="C311" s="661" t="s">
        <v>1086</v>
      </c>
      <c r="D311" s="660">
        <f t="shared" ref="D311:K311" si="118">D281*$F$51</f>
        <v>1138882083.775691</v>
      </c>
      <c r="E311" s="660">
        <f t="shared" si="118"/>
        <v>2267141090.0692053</v>
      </c>
      <c r="F311" s="660">
        <f t="shared" si="118"/>
        <v>2257423758.4069881</v>
      </c>
      <c r="G311" s="660">
        <f t="shared" si="118"/>
        <v>2243575663.9303584</v>
      </c>
      <c r="H311" s="660">
        <f t="shared" si="118"/>
        <v>2229643082.0055361</v>
      </c>
      <c r="I311" s="660">
        <f t="shared" si="118"/>
        <v>2215627525.2775016</v>
      </c>
      <c r="J311" s="660">
        <f t="shared" si="118"/>
        <v>2201530567.7484379</v>
      </c>
      <c r="K311" s="660">
        <f t="shared" si="118"/>
        <v>2187353844.5326972</v>
      </c>
      <c r="M311" s="22"/>
      <c r="N311" s="22"/>
      <c r="O311" s="22"/>
      <c r="P311" s="22"/>
    </row>
    <row r="312" spans="3:16">
      <c r="C312" s="671" t="s">
        <v>1084</v>
      </c>
      <c r="D312" s="673">
        <f t="shared" ref="D312:K312" si="119">D310*$H$36+D311*$H$37</f>
        <v>2599111.7893420244</v>
      </c>
      <c r="E312" s="673">
        <f t="shared" si="119"/>
        <v>5163390.0108976662</v>
      </c>
      <c r="F312" s="673">
        <f t="shared" si="119"/>
        <v>5132962.0553827286</v>
      </c>
      <c r="G312" s="673">
        <f t="shared" si="119"/>
        <v>5087373.4274035599</v>
      </c>
      <c r="H312" s="673">
        <f t="shared" si="119"/>
        <v>5042194.3729000045</v>
      </c>
      <c r="I312" s="673">
        <f t="shared" si="119"/>
        <v>4997413.1200423613</v>
      </c>
      <c r="J312" s="673">
        <f t="shared" si="119"/>
        <v>4953018.4216339886</v>
      </c>
      <c r="K312" s="673">
        <f t="shared" si="119"/>
        <v>4908999.5434670635</v>
      </c>
      <c r="M312" s="22"/>
      <c r="N312" s="22"/>
      <c r="O312" s="22"/>
      <c r="P312" s="22"/>
    </row>
    <row r="313" spans="3:16">
      <c r="C313" s="729" t="s">
        <v>879</v>
      </c>
      <c r="D313" s="660">
        <f t="shared" ref="D313:K313" si="120">(D279+D281+D282)*$F$44*$F$45*D$81</f>
        <v>1110980.9400717705</v>
      </c>
      <c r="E313" s="660">
        <f t="shared" si="120"/>
        <v>4453514.4876942672</v>
      </c>
      <c r="F313" s="660">
        <f t="shared" si="120"/>
        <v>6707571.0915466119</v>
      </c>
      <c r="G313" s="660">
        <f t="shared" si="120"/>
        <v>8922305.4703893848</v>
      </c>
      <c r="H313" s="660">
        <f t="shared" si="120"/>
        <v>11128311.640995421</v>
      </c>
      <c r="I313" s="660">
        <f t="shared" si="120"/>
        <v>13326693.508530617</v>
      </c>
      <c r="J313" s="660">
        <f t="shared" si="120"/>
        <v>15518559.67415083</v>
      </c>
      <c r="K313" s="660">
        <f t="shared" si="120"/>
        <v>17705024.853957653</v>
      </c>
    </row>
    <row r="314" spans="3:16">
      <c r="C314" s="661" t="s">
        <v>1075</v>
      </c>
      <c r="D314" s="665">
        <f t="shared" ref="D314:K314" si="121">(D290+D291+D292+D293)*$F$5</f>
        <v>33107095.869725667</v>
      </c>
      <c r="E314" s="665">
        <f t="shared" si="121"/>
        <v>67804428.420280114</v>
      </c>
      <c r="F314" s="665">
        <f t="shared" si="121"/>
        <v>69627327.660911143</v>
      </c>
      <c r="G314" s="665">
        <f t="shared" si="121"/>
        <v>70671716.962945327</v>
      </c>
      <c r="H314" s="665">
        <f t="shared" si="121"/>
        <v>71748469.983648747</v>
      </c>
      <c r="I314" s="665">
        <f t="shared" si="121"/>
        <v>72859021.063223168</v>
      </c>
      <c r="J314" s="665">
        <f t="shared" si="121"/>
        <v>74004890.03433533</v>
      </c>
      <c r="K314" s="668">
        <f t="shared" si="121"/>
        <v>75187687.726526007</v>
      </c>
      <c r="L314" s="591"/>
      <c r="M314" s="22"/>
      <c r="N314" s="22"/>
      <c r="O314" s="22"/>
      <c r="P314" s="22"/>
    </row>
    <row r="315" spans="3:16">
      <c r="C315" s="661" t="s">
        <v>1062</v>
      </c>
      <c r="D315" s="665">
        <f t="shared" ref="D315:K315" si="122">D296*$F$6</f>
        <v>895391913.64228022</v>
      </c>
      <c r="E315" s="665">
        <f t="shared" si="122"/>
        <v>1799029777.3849404</v>
      </c>
      <c r="F315" s="665">
        <f t="shared" si="122"/>
        <v>1805870328.449693</v>
      </c>
      <c r="G315" s="665">
        <f t="shared" si="122"/>
        <v>1818495696.9729843</v>
      </c>
      <c r="H315" s="665">
        <f t="shared" si="122"/>
        <v>1831209872.1754491</v>
      </c>
      <c r="I315" s="665">
        <f t="shared" si="122"/>
        <v>1844013474.854768</v>
      </c>
      <c r="J315" s="665">
        <f t="shared" si="122"/>
        <v>1856907130.1482699</v>
      </c>
      <c r="K315" s="665">
        <f t="shared" si="122"/>
        <v>1869891467.5632689</v>
      </c>
      <c r="L315" s="591"/>
      <c r="M315" s="22"/>
      <c r="N315" s="22"/>
      <c r="O315" s="22"/>
      <c r="P315" s="22"/>
    </row>
    <row r="316" spans="3:16">
      <c r="C316" s="666" t="s">
        <v>1063</v>
      </c>
      <c r="D316" s="672">
        <f t="shared" ref="D316:K316" si="123">SUM(D314:D315)</f>
        <v>928499009.51200593</v>
      </c>
      <c r="E316" s="672">
        <f t="shared" si="123"/>
        <v>1866834205.8052206</v>
      </c>
      <c r="F316" s="672">
        <f t="shared" si="123"/>
        <v>1875497656.110604</v>
      </c>
      <c r="G316" s="672">
        <f t="shared" si="123"/>
        <v>1889167413.9359295</v>
      </c>
      <c r="H316" s="672">
        <f t="shared" si="123"/>
        <v>1902958342.1590979</v>
      </c>
      <c r="I316" s="672">
        <f t="shared" si="123"/>
        <v>1916872495.9179912</v>
      </c>
      <c r="J316" s="672">
        <f t="shared" si="123"/>
        <v>1930912020.1826053</v>
      </c>
      <c r="K316" s="674">
        <f t="shared" si="123"/>
        <v>1945079155.2897949</v>
      </c>
      <c r="L316" s="591"/>
      <c r="M316" s="22"/>
      <c r="N316" s="22"/>
      <c r="O316" s="22"/>
      <c r="P316" s="22"/>
    </row>
    <row r="317" spans="3:16">
      <c r="C317" s="661" t="s">
        <v>1074</v>
      </c>
      <c r="D317" s="665">
        <f>(D290+D291+D292+D293)*$F$7*'B_03 Súhrn-vstupy a projekcie'!M$126+(D290+D291+D292+D293)*$F$9*'B_03 Súhrn-vstupy a projekcie'!M$125</f>
        <v>20731468.102211528</v>
      </c>
      <c r="E317" s="665">
        <f>(E290+E291+E292+E293)*$F$7*'B_03 Súhrn-vstupy a projekcie'!N$126+(E290+E291+E292+E293)*$F$9*'B_03 Súhrn-vstupy a projekcie'!N$125</f>
        <v>42142460.149825692</v>
      </c>
      <c r="F317" s="665">
        <f>(F290+F291+F292+F293)*$F$7*'B_03 Súhrn-vstupy a projekcie'!O$126+(F290+F291+F292+F293)*$F$9*'B_03 Súhrn-vstupy a projekcie'!O$125</f>
        <v>42893203.424078219</v>
      </c>
      <c r="G317" s="665">
        <f>(G290+G291+G292+G293)*$F$7*'B_03 Súhrn-vstupy a projekcie'!P$126+(G290+G291+G292+G293)*$F$9*'B_03 Súhrn-vstupy a projekcie'!P$125</f>
        <v>43092678.325042486</v>
      </c>
      <c r="H317" s="665">
        <f>(H290+H291+H292+H293)*$F$7*'B_03 Súhrn-vstupy a projekcie'!Q$126+(H290+H291+H292+H293)*$F$9*'B_03 Súhrn-vstupy a projekcie'!Q$125</f>
        <v>43244144.492184348</v>
      </c>
      <c r="I317" s="665">
        <f>(I290+I291+I292+I293)*$F$7*'B_03 Súhrn-vstupy a projekcie'!R$126+(I290+I291+I292+I293)*$F$9*'B_03 Súhrn-vstupy a projekcie'!R$125</f>
        <v>43334290.052766003</v>
      </c>
      <c r="J317" s="665">
        <f>(J290+J291+J292+J293)*$F$7*'B_03 Súhrn-vstupy a projekcie'!S$126+(J290+J291+J292+J293)*$F$9*'B_03 Súhrn-vstupy a projekcie'!S$125</f>
        <v>43349579.692857303</v>
      </c>
      <c r="K317" s="665">
        <f>(K290+K291+K292+K293)*$F$7*'B_03 Súhrn-vstupy a projekcie'!T$126+(K290+K291+K292+K293)*$F$9*'B_03 Súhrn-vstupy a projekcie'!T$125</f>
        <v>43276216.095825501</v>
      </c>
      <c r="L317" s="591"/>
      <c r="M317" s="22"/>
      <c r="N317" s="22"/>
      <c r="O317" s="22"/>
      <c r="P317" s="22"/>
    </row>
    <row r="318" spans="3:16">
      <c r="C318" s="661" t="s">
        <v>1076</v>
      </c>
      <c r="D318" s="665">
        <f>D296*$F$8*'B_03 Súhrn-vstupy a projekcie'!M$126+D296*$F$9*'B_03 Súhrn-vstupy a projekcie'!M$125</f>
        <v>126706119.3036449</v>
      </c>
      <c r="E318" s="665">
        <f>E296*$F$8*'B_03 Súhrn-vstupy a projekcie'!N$126+E296*$F$9*'B_03 Súhrn-vstupy a projekcie'!N$125</f>
        <v>252682769.20844042</v>
      </c>
      <c r="F318" s="665">
        <f>F296*$F$8*'B_03 Súhrn-vstupy a projekcie'!O$126+F296*$F$9*'B_03 Súhrn-vstupy a projekcie'!O$125</f>
        <v>251403180.67823336</v>
      </c>
      <c r="G318" s="665">
        <f>G296*$F$8*'B_03 Súhrn-vstupy a projekcie'!P$126+G296*$F$9*'B_03 Súhrn-vstupy a projekcie'!P$125</f>
        <v>250579520.05913797</v>
      </c>
      <c r="H318" s="665">
        <f>H296*$F$8*'B_03 Súhrn-vstupy a projekcie'!Q$126+H296*$F$9*'B_03 Súhrn-vstupy a projekcie'!Q$125</f>
        <v>249418255.27139139</v>
      </c>
      <c r="I318" s="665">
        <f>I296*$F$8*'B_03 Súhrn-vstupy a projekcie'!R$126+I296*$F$9*'B_03 Súhrn-vstupy a projekcie'!R$125</f>
        <v>247849413.11225376</v>
      </c>
      <c r="J318" s="665">
        <f>J296*$F$8*'B_03 Súhrn-vstupy a projekcie'!S$126+J296*$F$9*'B_03 Súhrn-vstupy a projekcie'!S$125</f>
        <v>245804657.51817495</v>
      </c>
      <c r="K318" s="665">
        <f>K296*$F$8*'B_03 Súhrn-vstupy a projekcie'!T$126+K296*$F$9*'B_03 Súhrn-vstupy a projekcie'!T$125</f>
        <v>243217265.88465917</v>
      </c>
      <c r="L318" s="591"/>
      <c r="M318" s="22"/>
      <c r="N318" s="22"/>
      <c r="O318" s="22"/>
      <c r="P318" s="22"/>
    </row>
    <row r="319" spans="3:16">
      <c r="C319" s="666" t="s">
        <v>1079</v>
      </c>
      <c r="D319" s="672">
        <f t="shared" ref="D319:K319" si="124">SUM(D317:D318)</f>
        <v>147437587.40585643</v>
      </c>
      <c r="E319" s="672">
        <f t="shared" si="124"/>
        <v>294825229.35826612</v>
      </c>
      <c r="F319" s="672">
        <f t="shared" si="124"/>
        <v>294296384.10231155</v>
      </c>
      <c r="G319" s="672">
        <f t="shared" si="124"/>
        <v>293672198.38418043</v>
      </c>
      <c r="H319" s="672">
        <f t="shared" si="124"/>
        <v>292662399.76357573</v>
      </c>
      <c r="I319" s="672">
        <f t="shared" si="124"/>
        <v>291183703.16501975</v>
      </c>
      <c r="J319" s="672">
        <f t="shared" si="124"/>
        <v>289154237.21103227</v>
      </c>
      <c r="K319" s="674">
        <f t="shared" si="124"/>
        <v>286493481.98048466</v>
      </c>
      <c r="L319" s="591"/>
      <c r="M319" s="22"/>
      <c r="N319" s="22"/>
      <c r="O319" s="22"/>
      <c r="P319" s="22"/>
    </row>
    <row r="320" spans="3:16">
      <c r="C320" s="661" t="s">
        <v>1077</v>
      </c>
      <c r="D320" s="665">
        <f>(D290+D291+D292+D293)*$F$10*'B_03 Súhrn-vstupy a projekcie'!M$126+(D290+D291+D292+D293)*$F$12*'B_03 Súhrn-vstupy a projekcie'!M$125</f>
        <v>6641007.9289277429</v>
      </c>
      <c r="E320" s="665">
        <f>(E290+E291+E292+E293)*$F$10*'B_03 Súhrn-vstupy a projekcie'!N$126+(E290+E291+E292+E293)*$F$12*'B_03 Súhrn-vstupy a projekcie'!N$125</f>
        <v>13597195.747558491</v>
      </c>
      <c r="F320" s="665">
        <f>(F290+F291+F292+F293)*$F$10*'B_03 Súhrn-vstupy a projekcie'!O$126+(F290+F291+F292+F293)*$F$12*'B_03 Súhrn-vstupy a projekcie'!O$125</f>
        <v>13958149.059430232</v>
      </c>
      <c r="G320" s="665">
        <f>(G290+G291+G292+G293)*$F$10*'B_03 Súhrn-vstupy a projekcie'!P$126+(G290+G291+G292+G293)*$F$12*'B_03 Súhrn-vstupy a projekcie'!P$125</f>
        <v>14162171.878069459</v>
      </c>
      <c r="H320" s="665">
        <f>(H290+H291+H292+H293)*$F$10*'B_03 Súhrn-vstupy a projekcie'!Q$126+(H290+H291+H292+H293)*$F$12*'B_03 Súhrn-vstupy a projekcie'!Q$125</f>
        <v>14371864.469159603</v>
      </c>
      <c r="I320" s="665">
        <f>(I290+I291+I292+I293)*$F$10*'B_03 Súhrn-vstupy a projekcie'!R$126+(I290+I291+I292+I293)*$F$12*'B_03 Súhrn-vstupy a projekcie'!R$125</f>
        <v>14587343.441122217</v>
      </c>
      <c r="J320" s="665">
        <f>(J290+J291+J292+J293)*$F$10*'B_03 Súhrn-vstupy a projekcie'!S$126+(J290+J291+J292+J293)*$F$12*'B_03 Súhrn-vstupy a projekcie'!S$125</f>
        <v>14808739.21628771</v>
      </c>
      <c r="K320" s="665">
        <f>(K290+K291+K292+K293)*$F$10*'B_03 Súhrn-vstupy a projekcie'!T$126+(K290+K291+K292+K293)*$F$12*'B_03 Súhrn-vstupy a projekcie'!T$125</f>
        <v>15036196.629196461</v>
      </c>
      <c r="L320" s="591"/>
      <c r="M320" s="22"/>
      <c r="N320" s="22"/>
      <c r="O320" s="22"/>
      <c r="P320" s="22"/>
    </row>
    <row r="321" spans="1:16">
      <c r="C321" s="661" t="s">
        <v>1078</v>
      </c>
      <c r="D321" s="665">
        <f>D296*$F$11*'B_03 Súhrn-vstupy a projekcie'!M$126+D296*$F$13*'B_03 Súhrn-vstupy a projekcie'!M$125</f>
        <v>81019598.100279063</v>
      </c>
      <c r="E321" s="665">
        <f>E296*$F$11*'B_03 Súhrn-vstupy a projekcie'!N$126+E296*$F$13*'B_03 Súhrn-vstupy a projekcie'!N$125</f>
        <v>162746923.89413419</v>
      </c>
      <c r="F321" s="665">
        <f>F296*$F$11*'B_03 Súhrn-vstupy a projekcie'!O$126+F296*$F$13*'B_03 Súhrn-vstupy a projekcie'!O$125</f>
        <v>163320370.0722425</v>
      </c>
      <c r="G321" s="665">
        <f>G296*$F$11*'B_03 Súhrn-vstupy a projekcie'!P$126+G296*$F$13*'B_03 Súhrn-vstupy a projekcie'!P$125</f>
        <v>164409910.38102254</v>
      </c>
      <c r="H321" s="665">
        <f>H296*$F$11*'B_03 Súhrn-vstupy a projekcie'!Q$126+H296*$F$13*'B_03 Súhrn-vstupy a projekcie'!Q$125</f>
        <v>165500394.17607144</v>
      </c>
      <c r="I321" s="665">
        <f>I296*$F$11*'B_03 Súhrn-vstupy a projekcie'!R$126+I296*$F$13*'B_03 Súhrn-vstupy a projekcie'!R$125</f>
        <v>166590458.648552</v>
      </c>
      <c r="J321" s="665">
        <f>J296*$F$11*'B_03 Súhrn-vstupy a projekcie'!S$126+J296*$F$13*'B_03 Súhrn-vstupy a projekcie'!S$125</f>
        <v>167678774.52766725</v>
      </c>
      <c r="K321" s="665">
        <f>K296*$F$11*'B_03 Súhrn-vstupy a projekcie'!T$126+K296*$F$13*'B_03 Súhrn-vstupy a projekcie'!T$125</f>
        <v>168764045.6037128</v>
      </c>
      <c r="L321" s="591"/>
    </row>
    <row r="322" spans="1:16">
      <c r="C322" s="666" t="s">
        <v>1080</v>
      </c>
      <c r="D322" s="672">
        <f t="shared" ref="D322:K322" si="125">SUM(D320:D321)</f>
        <v>87660606.029206812</v>
      </c>
      <c r="E322" s="672">
        <f t="shared" si="125"/>
        <v>176344119.6416927</v>
      </c>
      <c r="F322" s="672">
        <f t="shared" si="125"/>
        <v>177278519.13167274</v>
      </c>
      <c r="G322" s="672">
        <f t="shared" si="125"/>
        <v>178572082.259092</v>
      </c>
      <c r="H322" s="672">
        <f t="shared" si="125"/>
        <v>179872258.64523104</v>
      </c>
      <c r="I322" s="672">
        <f t="shared" si="125"/>
        <v>181177802.0896742</v>
      </c>
      <c r="J322" s="672">
        <f t="shared" si="125"/>
        <v>182487513.74395496</v>
      </c>
      <c r="K322" s="674">
        <f t="shared" si="125"/>
        <v>183800242.23290926</v>
      </c>
      <c r="L322" s="591"/>
    </row>
    <row r="323" spans="1:16">
      <c r="C323" s="661" t="s">
        <v>1081</v>
      </c>
      <c r="D323" s="665">
        <f>(D290+D291+D292+D293)*$F$14*'B_03 Súhrn-vstupy a projekcie'!M$126+(D290+D291+D292+D293)*$F$16*'B_03 Súhrn-vstupy a projekcie'!M$125</f>
        <v>30779728.401296716</v>
      </c>
      <c r="E323" s="665">
        <f>(E290+E291+E292+E293)*$F$14*'B_03 Súhrn-vstupy a projekcie'!N$126+(E290+E291+E292+E293)*$F$16*'B_03 Súhrn-vstupy a projekcie'!N$125</f>
        <v>62572857.254339077</v>
      </c>
      <c r="F323" s="665">
        <f>(F290+F291+F292+F293)*$F$14*'B_03 Súhrn-vstupy a projekcie'!O$126+(F290+F291+F292+F293)*$F$16*'B_03 Súhrn-vstupy a projekcie'!O$125</f>
        <v>63693060.514049016</v>
      </c>
      <c r="G323" s="665">
        <f>(G290+G291+G292+G293)*$F$14*'B_03 Súhrn-vstupy a projekcie'!P$126+(G290+G291+G292+G293)*$F$16*'B_03 Súhrn-vstupy a projekcie'!P$125</f>
        <v>63995714.594420664</v>
      </c>
      <c r="H323" s="665">
        <f>(H290+H291+H292+H293)*$F$14*'B_03 Súhrn-vstupy a projekcie'!Q$126+(H290+H291+H292+H293)*$F$16*'B_03 Súhrn-vstupy a projekcie'!Q$125</f>
        <v>64228066.614852853</v>
      </c>
      <c r="I323" s="665">
        <f>(I290+I291+I292+I293)*$F$14*'B_03 Súhrn-vstupy a projekcie'!R$126+(I290+I291+I292+I293)*$F$16*'B_03 Súhrn-vstupy a projekcie'!R$125</f>
        <v>64370555.724019617</v>
      </c>
      <c r="J323" s="665">
        <f>(J290+J291+J292+J293)*$F$14*'B_03 Súhrn-vstupy a projekcie'!S$126+(J290+J291+J292+J293)*$F$16*'B_03 Súhrn-vstupy a projekcie'!S$125</f>
        <v>64403293.289330743</v>
      </c>
      <c r="K323" s="665">
        <f>(K290+K291+K292+K293)*$F$14*'B_03 Súhrn-vstupy a projekcie'!T$126+(K290+K291+K292+K293)*$F$16*'B_03 Súhrn-vstupy a projekcie'!T$125</f>
        <v>64306006.24560976</v>
      </c>
      <c r="L323" s="591"/>
    </row>
    <row r="324" spans="1:16">
      <c r="C324" s="661" t="s">
        <v>1082</v>
      </c>
      <c r="D324" s="665">
        <f>D296*$F$15*'B_03 Súhrn-vstupy a projekcie'!M$126+D296*$F$17*'B_03 Súhrn-vstupy a projekcie'!M$125</f>
        <v>571313352.77534068</v>
      </c>
      <c r="E324" s="665">
        <f>E296*$F$15*'B_03 Súhrn-vstupy a projekcie'!N$126+E296*$F$17*'B_03 Súhrn-vstupy a projekcie'!N$125</f>
        <v>1139361992.441968</v>
      </c>
      <c r="F324" s="665">
        <f>F296*$F$15*'B_03 Súhrn-vstupy a projekcie'!O$126+F296*$F$17*'B_03 Súhrn-vstupy a projekcie'!O$125</f>
        <v>1133621338.3490229</v>
      </c>
      <c r="G324" s="665">
        <f>G296*$F$15*'B_03 Súhrn-vstupy a projekcie'!P$126+G296*$F$17*'B_03 Súhrn-vstupy a projekcie'!P$125</f>
        <v>1129941120.697567</v>
      </c>
      <c r="H324" s="665">
        <f>H296*$F$15*'B_03 Súhrn-vstupy a projekcie'!Q$126+H296*$F$17*'B_03 Súhrn-vstupy a projekcie'!Q$125</f>
        <v>1124743170.6105242</v>
      </c>
      <c r="I324" s="665">
        <f>I296*$F$15*'B_03 Súhrn-vstupy a projekcie'!R$126+I296*$F$17*'B_03 Súhrn-vstupy a projekcie'!R$125</f>
        <v>1117712884.3024826</v>
      </c>
      <c r="J324" s="665">
        <f>J296*$F$15*'B_03 Súhrn-vstupy a projekcie'!S$126+J296*$F$17*'B_03 Súhrn-vstupy a projekcie'!S$125</f>
        <v>1108543018.7000363</v>
      </c>
      <c r="K324" s="665">
        <f>K296*$F$15*'B_03 Súhrn-vstupy a projekcie'!T$126+K296*$F$17*'B_03 Súhrn-vstupy a projekcie'!T$125</f>
        <v>1096933584.9741251</v>
      </c>
      <c r="L324" s="591"/>
    </row>
    <row r="325" spans="1:16">
      <c r="C325" s="667" t="s">
        <v>1083</v>
      </c>
      <c r="D325" s="675">
        <f t="shared" ref="D325:K325" si="126">SUM(D323:D324)</f>
        <v>602093081.17663741</v>
      </c>
      <c r="E325" s="675">
        <f t="shared" si="126"/>
        <v>1201934849.6963069</v>
      </c>
      <c r="F325" s="675">
        <f t="shared" si="126"/>
        <v>1197314398.8630719</v>
      </c>
      <c r="G325" s="675">
        <f t="shared" si="126"/>
        <v>1193936835.2919877</v>
      </c>
      <c r="H325" s="675">
        <f t="shared" si="126"/>
        <v>1188971237.2253771</v>
      </c>
      <c r="I325" s="675">
        <f t="shared" si="126"/>
        <v>1182083440.0265021</v>
      </c>
      <c r="J325" s="675">
        <f t="shared" si="126"/>
        <v>1172946311.989367</v>
      </c>
      <c r="K325" s="676">
        <f t="shared" si="126"/>
        <v>1161239591.2197349</v>
      </c>
      <c r="L325" s="591"/>
    </row>
    <row r="326" spans="1:16">
      <c r="C326" s="599" t="s">
        <v>992</v>
      </c>
      <c r="D326" s="681"/>
      <c r="E326" s="681"/>
      <c r="F326" s="681"/>
      <c r="G326" s="681"/>
      <c r="H326" s="681"/>
      <c r="I326" s="681"/>
      <c r="J326" s="681"/>
      <c r="K326" s="681"/>
      <c r="L326" s="591"/>
    </row>
    <row r="327" spans="1:16">
      <c r="C327" s="678" t="s">
        <v>1153</v>
      </c>
      <c r="D327" s="679">
        <v>2026</v>
      </c>
      <c r="E327" s="679">
        <v>2027</v>
      </c>
      <c r="F327" s="679">
        <v>2028</v>
      </c>
      <c r="G327" s="679">
        <v>2029</v>
      </c>
      <c r="H327" s="679">
        <v>2030</v>
      </c>
      <c r="I327" s="679">
        <v>2031</v>
      </c>
      <c r="J327" s="679">
        <v>2032</v>
      </c>
      <c r="K327" s="680">
        <v>2033</v>
      </c>
      <c r="L327" s="732" t="s">
        <v>203</v>
      </c>
      <c r="M327" s="22"/>
      <c r="N327" s="22"/>
      <c r="O327" s="22"/>
      <c r="P327" s="22"/>
    </row>
    <row r="328" spans="1:16">
      <c r="C328" s="177" t="s">
        <v>416</v>
      </c>
      <c r="D328" s="184">
        <f t="shared" ref="D328:K328" si="127">D309-D129</f>
        <v>401456.42720746994</v>
      </c>
      <c r="E328" s="184">
        <f t="shared" si="127"/>
        <v>3264396.1578959823</v>
      </c>
      <c r="F328" s="184">
        <f t="shared" si="127"/>
        <v>6635990.6032349467</v>
      </c>
      <c r="G328" s="184">
        <f t="shared" si="127"/>
        <v>6744917.5658280253</v>
      </c>
      <c r="H328" s="184">
        <f t="shared" si="127"/>
        <v>6855593.6059733629</v>
      </c>
      <c r="I328" s="184">
        <f t="shared" si="127"/>
        <v>6968039.6105643511</v>
      </c>
      <c r="J328" s="184">
        <f t="shared" si="127"/>
        <v>7082276.8731744885</v>
      </c>
      <c r="K328" s="184">
        <f t="shared" si="127"/>
        <v>7198326.9851443768</v>
      </c>
      <c r="L328" s="682">
        <f t="shared" ref="L328:L334" si="128">SUM(D328:K328)</f>
        <v>45150997.829023004</v>
      </c>
      <c r="M328" s="22"/>
      <c r="N328" s="22"/>
      <c r="O328" s="22"/>
      <c r="P328" s="22"/>
    </row>
    <row r="329" spans="1:16">
      <c r="C329" s="175" t="s">
        <v>875</v>
      </c>
      <c r="D329" s="182">
        <f t="shared" ref="D329:K329" si="129">D139-D312</f>
        <v>777208.35785679473</v>
      </c>
      <c r="E329" s="182">
        <f t="shared" si="129"/>
        <v>1528759.6827569865</v>
      </c>
      <c r="F329" s="182">
        <f t="shared" si="129"/>
        <v>1499260.5844188929</v>
      </c>
      <c r="G329" s="182">
        <f t="shared" si="129"/>
        <v>1485468.5203094268</v>
      </c>
      <c r="H329" s="182">
        <f t="shared" si="129"/>
        <v>1471796.7563070217</v>
      </c>
      <c r="I329" s="182">
        <f t="shared" si="129"/>
        <v>1458241.2571308948</v>
      </c>
      <c r="J329" s="182">
        <f t="shared" si="129"/>
        <v>1444798.1283445563</v>
      </c>
      <c r="K329" s="182">
        <f t="shared" si="129"/>
        <v>1431463.6126689063</v>
      </c>
      <c r="L329" s="682">
        <f t="shared" si="128"/>
        <v>11096996.89979348</v>
      </c>
      <c r="M329" s="187"/>
    </row>
    <row r="330" spans="1:16">
      <c r="C330" s="175" t="s">
        <v>880</v>
      </c>
      <c r="D330" s="182">
        <f t="shared" ref="D330:K330" si="130">D$313*($F$46-$F$49)*AVERAGE($H$36:$H$38)</f>
        <v>340960.79116198642</v>
      </c>
      <c r="E330" s="182">
        <f t="shared" si="130"/>
        <v>1366786.5652830293</v>
      </c>
      <c r="F330" s="182">
        <f t="shared" si="130"/>
        <v>2058558.0397097166</v>
      </c>
      <c r="G330" s="182">
        <f t="shared" si="130"/>
        <v>2738261.4970661495</v>
      </c>
      <c r="H330" s="182">
        <f t="shared" si="130"/>
        <v>3415286.2614959222</v>
      </c>
      <c r="I330" s="182">
        <f t="shared" si="130"/>
        <v>4089971.1222303859</v>
      </c>
      <c r="J330" s="182">
        <f t="shared" si="130"/>
        <v>4762656.3097033398</v>
      </c>
      <c r="K330" s="182">
        <f t="shared" si="130"/>
        <v>5433683.931029507</v>
      </c>
      <c r="L330" s="682">
        <f t="shared" si="128"/>
        <v>24206164.517680038</v>
      </c>
      <c r="M330" s="22"/>
      <c r="N330" s="22"/>
      <c r="O330" s="22"/>
      <c r="P330" s="22"/>
    </row>
    <row r="331" spans="1:16">
      <c r="C331" s="175" t="s">
        <v>417</v>
      </c>
      <c r="D331" s="182">
        <f t="shared" ref="D331:K331" si="131">D142-D316</f>
        <v>606012.11436975002</v>
      </c>
      <c r="E331" s="182">
        <f t="shared" si="131"/>
        <v>4887107.6211760044</v>
      </c>
      <c r="F331" s="182">
        <f t="shared" si="131"/>
        <v>9852210.0113739967</v>
      </c>
      <c r="G331" s="182">
        <f t="shared" si="131"/>
        <v>9930169.2328004837</v>
      </c>
      <c r="H331" s="182">
        <f t="shared" si="131"/>
        <v>10008083.740765333</v>
      </c>
      <c r="I331" s="182">
        <f t="shared" si="131"/>
        <v>10085944.100586414</v>
      </c>
      <c r="J331" s="182">
        <f t="shared" si="131"/>
        <v>10163740.60174942</v>
      </c>
      <c r="K331" s="182">
        <f t="shared" si="131"/>
        <v>10241463.251047611</v>
      </c>
      <c r="L331" s="682">
        <f t="shared" si="128"/>
        <v>65774730.673869014</v>
      </c>
      <c r="M331" s="22"/>
      <c r="N331" s="22"/>
      <c r="O331" s="22"/>
      <c r="P331" s="22"/>
    </row>
    <row r="332" spans="1:16">
      <c r="C332" s="175" t="s">
        <v>418</v>
      </c>
      <c r="D332" s="182">
        <f t="shared" ref="D332:K332" si="132">D145-D319</f>
        <v>36730.079302579165</v>
      </c>
      <c r="E332" s="182">
        <f t="shared" si="132"/>
        <v>296979.48286211491</v>
      </c>
      <c r="F332" s="182">
        <f t="shared" si="132"/>
        <v>599257.43013745546</v>
      </c>
      <c r="G332" s="182">
        <f t="shared" si="132"/>
        <v>603562.82637268305</v>
      </c>
      <c r="H332" s="182">
        <f t="shared" si="132"/>
        <v>606862.96324634552</v>
      </c>
      <c r="I332" s="182">
        <f t="shared" si="132"/>
        <v>608959.38336992264</v>
      </c>
      <c r="J332" s="182">
        <f t="shared" si="132"/>
        <v>609652.42161631584</v>
      </c>
      <c r="K332" s="182">
        <f t="shared" si="132"/>
        <v>608741.81447029114</v>
      </c>
      <c r="L332" s="682">
        <f t="shared" si="128"/>
        <v>3970746.4013777077</v>
      </c>
      <c r="M332" s="22"/>
      <c r="N332" s="22"/>
      <c r="O332" s="22"/>
      <c r="P332" s="22"/>
    </row>
    <row r="333" spans="1:16">
      <c r="C333" s="175" t="s">
        <v>419</v>
      </c>
      <c r="D333" s="182">
        <f t="shared" ref="D333:K333" si="133">D148-D322</f>
        <v>43697.701402544975</v>
      </c>
      <c r="E333" s="182">
        <f t="shared" si="133"/>
        <v>353000.65074074268</v>
      </c>
      <c r="F333" s="182">
        <f t="shared" si="133"/>
        <v>712803.51266083121</v>
      </c>
      <c r="G333" s="182">
        <f t="shared" si="133"/>
        <v>719568.3352715373</v>
      </c>
      <c r="H333" s="182">
        <f t="shared" si="133"/>
        <v>726294.21853166819</v>
      </c>
      <c r="I333" s="182">
        <f t="shared" si="133"/>
        <v>732973.32946804166</v>
      </c>
      <c r="J333" s="182">
        <f t="shared" si="133"/>
        <v>739597.86121761799</v>
      </c>
      <c r="K333" s="182">
        <f t="shared" si="133"/>
        <v>746160.03919181228</v>
      </c>
      <c r="L333" s="682">
        <f t="shared" si="128"/>
        <v>4774095.6484847963</v>
      </c>
    </row>
    <row r="334" spans="1:16">
      <c r="C334" s="589" t="s">
        <v>420</v>
      </c>
      <c r="D334" s="683">
        <f t="shared" ref="D334:K334" si="134">D151-D325</f>
        <v>357172.02618551254</v>
      </c>
      <c r="E334" s="683">
        <f t="shared" si="134"/>
        <v>2860729.6986312866</v>
      </c>
      <c r="F334" s="683">
        <f t="shared" si="134"/>
        <v>5719750.5948944092</v>
      </c>
      <c r="G334" s="683">
        <f t="shared" si="134"/>
        <v>5709740.0167844296</v>
      </c>
      <c r="H334" s="683">
        <f t="shared" si="134"/>
        <v>5691544.3199777603</v>
      </c>
      <c r="I334" s="683">
        <f t="shared" si="134"/>
        <v>5663537.1572313309</v>
      </c>
      <c r="J334" s="683">
        <f t="shared" si="134"/>
        <v>5624125.0004940033</v>
      </c>
      <c r="K334" s="683">
        <f t="shared" si="134"/>
        <v>5571748.0925991535</v>
      </c>
      <c r="L334" s="682">
        <f t="shared" si="128"/>
        <v>37198346.906797886</v>
      </c>
      <c r="M334" s="22"/>
      <c r="N334" s="22"/>
      <c r="O334" s="22"/>
      <c r="P334" s="22"/>
    </row>
    <row r="335" spans="1:16">
      <c r="C335" s="684" t="s">
        <v>203</v>
      </c>
      <c r="D335" s="730">
        <f t="shared" ref="D335:L335" si="135">SUM(D328:D334)</f>
        <v>2563237.4974866379</v>
      </c>
      <c r="E335" s="730">
        <f t="shared" si="135"/>
        <v>14557759.859346148</v>
      </c>
      <c r="F335" s="730">
        <f t="shared" si="135"/>
        <v>27077830.776430249</v>
      </c>
      <c r="G335" s="730">
        <f t="shared" si="135"/>
        <v>27931687.994432736</v>
      </c>
      <c r="H335" s="730">
        <f t="shared" si="135"/>
        <v>28775461.866297416</v>
      </c>
      <c r="I335" s="730">
        <f t="shared" si="135"/>
        <v>29607665.96058134</v>
      </c>
      <c r="J335" s="730">
        <f t="shared" si="135"/>
        <v>30426847.196299743</v>
      </c>
      <c r="K335" s="730">
        <f t="shared" si="135"/>
        <v>31231587.726151656</v>
      </c>
      <c r="L335" s="731">
        <f t="shared" si="135"/>
        <v>192172078.8770259</v>
      </c>
    </row>
    <row r="336" spans="1:16">
      <c r="A336" s="125"/>
      <c r="C336" s="57"/>
      <c r="D336" s="121"/>
      <c r="E336" s="121"/>
      <c r="F336" s="121"/>
      <c r="G336" s="121"/>
      <c r="H336" s="121"/>
      <c r="I336" s="121"/>
      <c r="J336" s="121"/>
      <c r="K336" s="121"/>
      <c r="L336" s="121"/>
    </row>
    <row r="337" spans="1:16" ht="15.75" thickBot="1">
      <c r="A337" s="125" t="s">
        <v>680</v>
      </c>
      <c r="B337" s="125"/>
      <c r="L337" s="121"/>
      <c r="M337" s="22"/>
      <c r="N337" s="22"/>
      <c r="O337" s="22"/>
      <c r="P337" s="22"/>
    </row>
    <row r="338" spans="1:16">
      <c r="C338" s="748" t="s">
        <v>529</v>
      </c>
      <c r="D338" s="749">
        <v>2026</v>
      </c>
      <c r="E338" s="749">
        <v>2027</v>
      </c>
      <c r="F338" s="749">
        <v>2028</v>
      </c>
      <c r="G338" s="749">
        <v>2029</v>
      </c>
      <c r="H338" s="749">
        <v>2030</v>
      </c>
      <c r="I338" s="749">
        <v>2031</v>
      </c>
      <c r="J338" s="749">
        <v>2032</v>
      </c>
      <c r="K338" s="927">
        <v>2033</v>
      </c>
      <c r="M338" s="22"/>
      <c r="N338" s="22"/>
      <c r="O338" s="22"/>
      <c r="P338" s="22"/>
    </row>
    <row r="339" spans="1:16">
      <c r="C339" s="704" t="s">
        <v>1048</v>
      </c>
      <c r="D339" s="705">
        <f t="shared" ref="D339:K343" si="136">D86+D352</f>
        <v>26059485.114840839</v>
      </c>
      <c r="E339" s="705">
        <f t="shared" si="136"/>
        <v>52017938.53619118</v>
      </c>
      <c r="F339" s="705">
        <f t="shared" si="136"/>
        <v>51977913.839487858</v>
      </c>
      <c r="G339" s="705">
        <f t="shared" si="136"/>
        <v>51915592.654830426</v>
      </c>
      <c r="H339" s="705">
        <f t="shared" si="136"/>
        <v>51899266.33979331</v>
      </c>
      <c r="I339" s="705">
        <f t="shared" si="136"/>
        <v>51930611.303372011</v>
      </c>
      <c r="J339" s="917">
        <f t="shared" si="136"/>
        <v>52011410.486632779</v>
      </c>
      <c r="K339" s="928">
        <f t="shared" si="136"/>
        <v>52143558.942242913</v>
      </c>
      <c r="M339" s="22"/>
      <c r="N339" s="22"/>
      <c r="O339" s="22"/>
      <c r="P339" s="22"/>
    </row>
    <row r="340" spans="1:16">
      <c r="C340" s="702" t="s">
        <v>1049</v>
      </c>
      <c r="D340" s="705">
        <f t="shared" si="136"/>
        <v>35733525.802531488</v>
      </c>
      <c r="E340" s="705">
        <f t="shared" si="136"/>
        <v>70202458.234025106</v>
      </c>
      <c r="F340" s="705">
        <f t="shared" si="136"/>
        <v>68993906.903833449</v>
      </c>
      <c r="G340" s="705">
        <f t="shared" si="136"/>
        <v>67728558.223683223</v>
      </c>
      <c r="H340" s="705">
        <f t="shared" si="136"/>
        <v>66495560.378273979</v>
      </c>
      <c r="I340" s="705">
        <f t="shared" si="136"/>
        <v>65294047.106011763</v>
      </c>
      <c r="J340" s="917">
        <f t="shared" si="136"/>
        <v>64123175.96896708</v>
      </c>
      <c r="K340" s="929">
        <f t="shared" si="136"/>
        <v>62982127.685997471</v>
      </c>
      <c r="M340" s="22"/>
      <c r="N340" s="22"/>
      <c r="O340" s="22"/>
      <c r="P340" s="22"/>
    </row>
    <row r="341" spans="1:16">
      <c r="C341" s="702" t="s">
        <v>1050</v>
      </c>
      <c r="D341" s="705">
        <f t="shared" si="136"/>
        <v>89307859.840289026</v>
      </c>
      <c r="E341" s="705">
        <f t="shared" si="136"/>
        <v>179773172.80140346</v>
      </c>
      <c r="F341" s="705">
        <f t="shared" si="136"/>
        <v>181005237.50484356</v>
      </c>
      <c r="G341" s="705">
        <f t="shared" si="136"/>
        <v>182015430.27734944</v>
      </c>
      <c r="H341" s="705">
        <f t="shared" si="136"/>
        <v>183034173.08919019</v>
      </c>
      <c r="I341" s="705">
        <f t="shared" si="136"/>
        <v>184061311.59107316</v>
      </c>
      <c r="J341" s="917">
        <f t="shared" si="136"/>
        <v>185096685.24357733</v>
      </c>
      <c r="K341" s="929">
        <f t="shared" si="136"/>
        <v>186140127.3394658</v>
      </c>
      <c r="M341" s="22"/>
      <c r="N341" s="22"/>
      <c r="O341" s="22"/>
      <c r="P341" s="22"/>
    </row>
    <row r="342" spans="1:16">
      <c r="C342" s="702" t="s">
        <v>1051</v>
      </c>
      <c r="D342" s="705">
        <f t="shared" si="136"/>
        <v>113875708.86490066</v>
      </c>
      <c r="E342" s="705">
        <f t="shared" si="136"/>
        <v>226600255.30090323</v>
      </c>
      <c r="F342" s="705">
        <f t="shared" si="136"/>
        <v>225517527.13993815</v>
      </c>
      <c r="G342" s="705">
        <f t="shared" si="136"/>
        <v>224135614.05473667</v>
      </c>
      <c r="H342" s="705">
        <f t="shared" si="136"/>
        <v>222745286.45720935</v>
      </c>
      <c r="I342" s="705">
        <f t="shared" si="136"/>
        <v>221346692.18473253</v>
      </c>
      <c r="J342" s="917">
        <f t="shared" si="136"/>
        <v>219939985.2066153</v>
      </c>
      <c r="K342" s="929">
        <f t="shared" si="136"/>
        <v>218525325.60429257</v>
      </c>
      <c r="M342" s="186" t="s">
        <v>895</v>
      </c>
      <c r="N342" s="22"/>
      <c r="O342" s="22"/>
      <c r="P342" s="22"/>
    </row>
    <row r="343" spans="1:16">
      <c r="C343" s="702" t="s">
        <v>1030</v>
      </c>
      <c r="D343" s="705">
        <f t="shared" si="136"/>
        <v>37179936.396818109</v>
      </c>
      <c r="E343" s="705">
        <f t="shared" si="136"/>
        <v>76067865.11435087</v>
      </c>
      <c r="F343" s="705">
        <f t="shared" si="136"/>
        <v>77842479.708200082</v>
      </c>
      <c r="G343" s="705">
        <f t="shared" si="136"/>
        <v>79556420.130690098</v>
      </c>
      <c r="H343" s="705">
        <f t="shared" si="136"/>
        <v>81308057.246285081</v>
      </c>
      <c r="I343" s="705">
        <f t="shared" si="136"/>
        <v>83098217.873759195</v>
      </c>
      <c r="J343" s="917">
        <f t="shared" si="136"/>
        <v>84927746.868491769</v>
      </c>
      <c r="K343" s="929">
        <f t="shared" si="136"/>
        <v>86797507.512769014</v>
      </c>
      <c r="M343" s="186" t="s">
        <v>893</v>
      </c>
      <c r="N343" s="22"/>
      <c r="O343" s="22"/>
      <c r="P343" s="22"/>
    </row>
    <row r="344" spans="1:16">
      <c r="C344" s="706" t="s">
        <v>1060</v>
      </c>
      <c r="D344" s="707">
        <f t="shared" ref="D344:K344" si="137">SUM(D339:D343)</f>
        <v>302156516.01938009</v>
      </c>
      <c r="E344" s="707">
        <f t="shared" si="137"/>
        <v>604661689.98687387</v>
      </c>
      <c r="F344" s="707">
        <f t="shared" si="137"/>
        <v>605337065.09630311</v>
      </c>
      <c r="G344" s="707">
        <f t="shared" si="137"/>
        <v>605351615.34128988</v>
      </c>
      <c r="H344" s="707">
        <f t="shared" si="137"/>
        <v>605482343.51075196</v>
      </c>
      <c r="I344" s="707">
        <f t="shared" si="137"/>
        <v>605730880.05894864</v>
      </c>
      <c r="J344" s="918">
        <f t="shared" si="137"/>
        <v>606099003.77428424</v>
      </c>
      <c r="K344" s="708">
        <f t="shared" si="137"/>
        <v>606588647.08476782</v>
      </c>
      <c r="M344" s="186" t="s">
        <v>894</v>
      </c>
      <c r="N344" s="22"/>
      <c r="O344" s="22"/>
      <c r="P344" s="22"/>
    </row>
    <row r="345" spans="1:16">
      <c r="C345" s="709" t="s">
        <v>878</v>
      </c>
      <c r="D345" s="710">
        <f t="shared" ref="D345:K345" si="138">D340*$F$29/3600</f>
        <v>29777.938168776243</v>
      </c>
      <c r="E345" s="710">
        <f t="shared" si="138"/>
        <v>58502.048528354251</v>
      </c>
      <c r="F345" s="710">
        <f t="shared" si="138"/>
        <v>57494.922419861206</v>
      </c>
      <c r="G345" s="710">
        <f t="shared" si="138"/>
        <v>56440.465186402682</v>
      </c>
      <c r="H345" s="710">
        <f t="shared" si="138"/>
        <v>55412.966981894984</v>
      </c>
      <c r="I345" s="710">
        <f t="shared" si="138"/>
        <v>54411.705921676476</v>
      </c>
      <c r="J345" s="919">
        <f t="shared" si="138"/>
        <v>53435.979974139234</v>
      </c>
      <c r="K345" s="711">
        <f t="shared" si="138"/>
        <v>52485.106404997889</v>
      </c>
      <c r="M345" s="186"/>
      <c r="N345" s="22"/>
      <c r="O345" s="22"/>
      <c r="P345" s="22"/>
    </row>
    <row r="346" spans="1:16">
      <c r="C346" s="709" t="s">
        <v>879</v>
      </c>
      <c r="D346" s="710">
        <f t="shared" ref="D346:K346" si="139">(D340+D342+D343)*$F$44*$F$45*D$60</f>
        <v>665716.60567298799</v>
      </c>
      <c r="E346" s="710">
        <f t="shared" si="139"/>
        <v>2657821.4846120621</v>
      </c>
      <c r="F346" s="710">
        <f t="shared" si="139"/>
        <v>3981208.0458360817</v>
      </c>
      <c r="G346" s="710">
        <f t="shared" si="139"/>
        <v>5294971.9653842719</v>
      </c>
      <c r="H346" s="710">
        <f t="shared" si="139"/>
        <v>6603181.4707371127</v>
      </c>
      <c r="I346" s="710">
        <f t="shared" si="139"/>
        <v>7906497.8600057429</v>
      </c>
      <c r="J346" s="919">
        <f t="shared" si="139"/>
        <v>9205585.1738835629</v>
      </c>
      <c r="K346" s="711">
        <f t="shared" si="139"/>
        <v>10501111.04241682</v>
      </c>
      <c r="M346" s="186"/>
      <c r="N346" s="22"/>
      <c r="O346" s="22"/>
      <c r="P346" s="22"/>
    </row>
    <row r="347" spans="1:16">
      <c r="C347" s="704" t="s">
        <v>1333</v>
      </c>
      <c r="D347" s="712">
        <f>'DM_xx_Distribúcia presunu'!$K$22*'B_02 Benefity varianty'!D$63*(1+D64)/2</f>
        <v>1618.3300295137499</v>
      </c>
      <c r="E347" s="712">
        <f>'DM_xx_Distribúcia presunu'!$K$22*'B_02 Benefity varianty'!E$63*(1+E64)</f>
        <v>13036.63674222</v>
      </c>
      <c r="F347" s="712">
        <f>'DM_xx_Distribúcia presunu'!$K$22*'B_02 Benefity varianty'!F$63*(1+F64)</f>
        <v>26253.266496659999</v>
      </c>
      <c r="G347" s="712">
        <f>'DM_xx_Distribúcia presunu'!$K$22*'B_02 Benefity varianty'!G$63*(1+G64)</f>
        <v>26433.259508880001</v>
      </c>
      <c r="H347" s="712">
        <f>'DM_xx_Distribúcia presunu'!$K$22*'B_02 Benefity varianty'!H$63*(1+H64)</f>
        <v>26613.252521099999</v>
      </c>
      <c r="I347" s="712">
        <f>'DM_xx_Distribúcia presunu'!$K$22*'B_02 Benefity varianty'!I$63*(1+I64)</f>
        <v>26793.245533320001</v>
      </c>
      <c r="J347" s="920">
        <f>'DM_xx_Distribúcia presunu'!$K$22*'B_02 Benefity varianty'!J$63*(1+J64)</f>
        <v>26973.238545539996</v>
      </c>
      <c r="K347" s="712">
        <f>'DM_xx_Distribúcia presunu'!$K$22*'B_02 Benefity varianty'!K$63*(1+K64)</f>
        <v>27153.231557760002</v>
      </c>
      <c r="M347" s="186"/>
      <c r="N347" s="22"/>
      <c r="O347" s="22"/>
      <c r="P347" s="22"/>
    </row>
    <row r="348" spans="1:16">
      <c r="C348" s="702" t="s">
        <v>1334</v>
      </c>
      <c r="D348" s="422">
        <f>'DM_xx_Distribúcia presunu'!$L$22*'B_02 Benefity varianty'!D$63*(1+D64)/2</f>
        <v>337.56481173624996</v>
      </c>
      <c r="E348" s="422">
        <f>'DM_xx_Distribúcia presunu'!$L$22*'B_02 Benefity varianty'!E$63*(1+E64)/2</f>
        <v>1359.6453588900001</v>
      </c>
      <c r="F348" s="422">
        <f>'DM_xx_Distribúcia presunu'!$L$22*'B_02 Benefity varianty'!F$63*(1+F64)/2</f>
        <v>2738.0629416699999</v>
      </c>
      <c r="G348" s="422">
        <f>'DM_xx_Distribúcia presunu'!$L$22*'B_02 Benefity varianty'!G$63*(1+G64)/2</f>
        <v>2756.83516556</v>
      </c>
      <c r="H348" s="422">
        <f>'DM_xx_Distribúcia presunu'!$L$22*'B_02 Benefity varianty'!H$63*(1+H64)/2</f>
        <v>2775.60738945</v>
      </c>
      <c r="I348" s="422">
        <f>'DM_xx_Distribúcia presunu'!$L$22*'B_02 Benefity varianty'!I$63*(1+I64)/2</f>
        <v>2794.3796133400001</v>
      </c>
      <c r="J348" s="921">
        <f>'DM_xx_Distribúcia presunu'!$L$22*'B_02 Benefity varianty'!J$63*(1+J64)/2</f>
        <v>2813.1518372299997</v>
      </c>
      <c r="K348" s="422">
        <f>'DM_xx_Distribúcia presunu'!$L$22*'B_02 Benefity varianty'!K$63*(1+K64)/2</f>
        <v>2831.9240611200003</v>
      </c>
      <c r="M348" s="22"/>
      <c r="N348" s="22"/>
      <c r="O348" s="22"/>
      <c r="P348" s="22"/>
    </row>
    <row r="349" spans="1:16">
      <c r="C349" s="702" t="s">
        <v>1335</v>
      </c>
      <c r="D349" s="422">
        <f>'DM_xx_Distribúcia presunu'!$K$9*'B_02 Benefity varianty'!D$63*(1+D64)/2</f>
        <v>184.088807126875</v>
      </c>
      <c r="E349" s="422">
        <f>'DM_xx_Distribúcia presunu'!$K$9*'B_02 Benefity varianty'!E$63*(1+E64)</f>
        <v>1482.9477690300002</v>
      </c>
      <c r="F349" s="422">
        <f>'DM_xx_Distribúcia presunu'!$K$9*'B_02 Benefity varianty'!F$63*(1+F64)</f>
        <v>2986.3701620900001</v>
      </c>
      <c r="G349" s="422">
        <f>'DM_xx_Distribúcia presunu'!$K$9*'B_02 Benefity varianty'!G$63*(1+G64)</f>
        <v>3006.8447861200002</v>
      </c>
      <c r="H349" s="422">
        <f>'DM_xx_Distribúcia presunu'!$K$9*'B_02 Benefity varianty'!H$63*(1+H64)</f>
        <v>3027.3194101500003</v>
      </c>
      <c r="I349" s="422">
        <f>'DM_xx_Distribúcia presunu'!$K$9*'B_02 Benefity varianty'!I$63*(1+I64)</f>
        <v>3047.7940341800004</v>
      </c>
      <c r="J349" s="921">
        <f>'DM_xx_Distribúcia presunu'!$K$9*'B_02 Benefity varianty'!J$63*(1+J64)</f>
        <v>3068.26865821</v>
      </c>
      <c r="K349" s="422">
        <f>'DM_xx_Distribúcia presunu'!$K$9*'B_02 Benefity varianty'!K$63*(1+K64)</f>
        <v>3088.7432822400006</v>
      </c>
      <c r="M349" s="22"/>
      <c r="N349" s="22"/>
      <c r="O349" s="22"/>
      <c r="P349" s="22"/>
    </row>
    <row r="350" spans="1:16">
      <c r="C350" s="706" t="s">
        <v>1336</v>
      </c>
      <c r="D350" s="423">
        <f>'DM_xx_Distribúcia presunu'!$L$9*'B_02 Benefity varianty'!D$63*(1+D64)/2</f>
        <v>36.194645685624998</v>
      </c>
      <c r="E350" s="423">
        <f>'DM_xx_Distribúcia presunu'!$L$9*'B_02 Benefity varianty'!E$63*(1+E64)</f>
        <v>291.56997596999997</v>
      </c>
      <c r="F350" s="423">
        <f>'DM_xx_Distribúcia presunu'!$L$9*'B_02 Benefity varianty'!F$63*(1+F64)</f>
        <v>587.16557290999992</v>
      </c>
      <c r="G350" s="423">
        <f>'DM_xx_Distribúcia presunu'!$L$9*'B_02 Benefity varianty'!G$63*(1+G64)</f>
        <v>591.19119388000001</v>
      </c>
      <c r="H350" s="423">
        <f>'DM_xx_Distribúcia presunu'!$L$9*'B_02 Benefity varianty'!H$63*(1+H64)</f>
        <v>595.21681484999999</v>
      </c>
      <c r="I350" s="423">
        <f>'DM_xx_Distribúcia presunu'!$L$9*'B_02 Benefity varianty'!I$63*(1+I64)</f>
        <v>599.24243581999997</v>
      </c>
      <c r="J350" s="922">
        <f>'DM_xx_Distribúcia presunu'!$L$9*'B_02 Benefity varianty'!J$63*(1+J64)</f>
        <v>603.26805678999995</v>
      </c>
      <c r="K350" s="423">
        <f>'DM_xx_Distribúcia presunu'!$L$9*'B_02 Benefity varianty'!K$63*(1+K64)</f>
        <v>607.29367776000004</v>
      </c>
      <c r="M350" s="22"/>
      <c r="N350" s="22"/>
      <c r="O350" s="22"/>
      <c r="P350" s="22"/>
    </row>
    <row r="351" spans="1:16">
      <c r="C351" s="704" t="s">
        <v>1342</v>
      </c>
      <c r="D351" s="703">
        <f t="shared" ref="D351:K351" si="140">(D347*$F$31+D348*$F$32+D349*$F$31+D350*$F$32)*$F$41</f>
        <v>101333.72555468749</v>
      </c>
      <c r="E351" s="703">
        <f t="shared" si="140"/>
        <v>775515.68560830003</v>
      </c>
      <c r="F351" s="703">
        <f t="shared" si="140"/>
        <v>1561738.6883749</v>
      </c>
      <c r="G351" s="703">
        <f t="shared" si="140"/>
        <v>1572446.0055332</v>
      </c>
      <c r="H351" s="703">
        <f t="shared" si="140"/>
        <v>1583153.3226915</v>
      </c>
      <c r="I351" s="703">
        <f t="shared" si="140"/>
        <v>1593860.6398498002</v>
      </c>
      <c r="J351" s="923">
        <f t="shared" si="140"/>
        <v>1604567.9570081001</v>
      </c>
      <c r="K351" s="703">
        <f t="shared" si="140"/>
        <v>1615275.2741664003</v>
      </c>
      <c r="M351" s="22"/>
      <c r="N351" s="22"/>
      <c r="O351" s="22"/>
      <c r="P351" s="22"/>
    </row>
    <row r="352" spans="1:16">
      <c r="C352" s="702" t="s">
        <v>1337</v>
      </c>
      <c r="D352" s="703">
        <f t="shared" ref="D352:K356" si="141">D$351*D92</f>
        <v>8739.5259500356842</v>
      </c>
      <c r="E352" s="703">
        <f t="shared" si="141"/>
        <v>66716.195082080434</v>
      </c>
      <c r="F352" s="703">
        <f t="shared" si="141"/>
        <v>134100.3610463388</v>
      </c>
      <c r="G352" s="703">
        <f t="shared" si="141"/>
        <v>134854.62700706982</v>
      </c>
      <c r="H352" s="703">
        <f t="shared" si="141"/>
        <v>135700.89504952816</v>
      </c>
      <c r="I352" s="703">
        <f t="shared" si="141"/>
        <v>136645.10112432888</v>
      </c>
      <c r="J352" s="923">
        <f t="shared" si="141"/>
        <v>137693.41666287513</v>
      </c>
      <c r="K352" s="930">
        <f t="shared" si="141"/>
        <v>138852.25493624032</v>
      </c>
      <c r="M352" s="22"/>
      <c r="N352" s="22"/>
      <c r="O352" s="22"/>
      <c r="P352" s="22"/>
    </row>
    <row r="353" spans="3:16">
      <c r="C353" s="702" t="s">
        <v>1338</v>
      </c>
      <c r="D353" s="703">
        <f t="shared" si="141"/>
        <v>11983.892799924994</v>
      </c>
      <c r="E353" s="703">
        <f t="shared" si="141"/>
        <v>90038.956378946212</v>
      </c>
      <c r="F353" s="703">
        <f t="shared" si="141"/>
        <v>178000.75344256472</v>
      </c>
      <c r="G353" s="703">
        <f t="shared" si="141"/>
        <v>175929.98538429657</v>
      </c>
      <c r="H353" s="703">
        <f t="shared" si="141"/>
        <v>173865.79226521793</v>
      </c>
      <c r="I353" s="703">
        <f t="shared" si="141"/>
        <v>171808.33126526923</v>
      </c>
      <c r="J353" s="923">
        <f t="shared" si="141"/>
        <v>169757.73400167708</v>
      </c>
      <c r="K353" s="930">
        <f t="shared" si="141"/>
        <v>167714.10750021183</v>
      </c>
      <c r="M353" s="22"/>
      <c r="N353" s="22"/>
      <c r="O353" s="22"/>
      <c r="P353" s="22"/>
    </row>
    <row r="354" spans="3:16">
      <c r="C354" s="702" t="s">
        <v>1339</v>
      </c>
      <c r="D354" s="703">
        <f t="shared" si="141"/>
        <v>29951.027626860414</v>
      </c>
      <c r="E354" s="703">
        <f t="shared" si="141"/>
        <v>230570.11493829935</v>
      </c>
      <c r="F354" s="703">
        <f t="shared" si="141"/>
        <v>466984.26134674181</v>
      </c>
      <c r="G354" s="703">
        <f t="shared" si="141"/>
        <v>472798.66614985978</v>
      </c>
      <c r="H354" s="703">
        <f t="shared" si="141"/>
        <v>478579.04098750476</v>
      </c>
      <c r="I354" s="703">
        <f t="shared" si="141"/>
        <v>484320.82550520002</v>
      </c>
      <c r="J354" s="923">
        <f t="shared" si="141"/>
        <v>490019.30087458662</v>
      </c>
      <c r="K354" s="930">
        <f t="shared" si="141"/>
        <v>495669.58871818031</v>
      </c>
      <c r="M354" s="22"/>
      <c r="N354" s="22"/>
      <c r="O354" s="22"/>
      <c r="P354" s="22"/>
    </row>
    <row r="355" spans="3:16">
      <c r="C355" s="702" t="s">
        <v>1340</v>
      </c>
      <c r="D355" s="703">
        <f t="shared" si="141"/>
        <v>38190.306075415581</v>
      </c>
      <c r="E355" s="703">
        <f t="shared" si="141"/>
        <v>290628.71893291379</v>
      </c>
      <c r="F355" s="703">
        <f t="shared" si="141"/>
        <v>581823.69352361804</v>
      </c>
      <c r="G355" s="703">
        <f t="shared" si="141"/>
        <v>582208.98744839337</v>
      </c>
      <c r="H355" s="703">
        <f t="shared" si="141"/>
        <v>582411.59985590714</v>
      </c>
      <c r="I355" s="703">
        <f t="shared" si="141"/>
        <v>582429.9074860788</v>
      </c>
      <c r="J355" s="923">
        <f t="shared" si="141"/>
        <v>582262.38705186243</v>
      </c>
      <c r="K355" s="930">
        <f t="shared" si="141"/>
        <v>581907.61881906539</v>
      </c>
      <c r="M355" s="22"/>
      <c r="N355" s="22"/>
      <c r="O355" s="22"/>
      <c r="P355" s="22"/>
    </row>
    <row r="356" spans="3:16">
      <c r="C356" s="706" t="s">
        <v>1341</v>
      </c>
      <c r="D356" s="703">
        <f t="shared" si="141"/>
        <v>12468.973102450826</v>
      </c>
      <c r="E356" s="703">
        <f t="shared" si="141"/>
        <v>97561.700276060365</v>
      </c>
      <c r="F356" s="703">
        <f t="shared" si="141"/>
        <v>200829.61901563662</v>
      </c>
      <c r="G356" s="703">
        <f t="shared" si="141"/>
        <v>206653.7395435806</v>
      </c>
      <c r="H356" s="703">
        <f t="shared" si="141"/>
        <v>212595.99453334199</v>
      </c>
      <c r="I356" s="703">
        <f t="shared" si="141"/>
        <v>218656.47446892329</v>
      </c>
      <c r="J356" s="923">
        <f t="shared" si="141"/>
        <v>224835.11841709897</v>
      </c>
      <c r="K356" s="930">
        <f t="shared" si="141"/>
        <v>231131.70419270251</v>
      </c>
      <c r="M356" s="22"/>
      <c r="N356" s="22"/>
      <c r="O356" s="22"/>
      <c r="P356" s="22"/>
    </row>
    <row r="357" spans="3:16">
      <c r="C357" s="704" t="s">
        <v>917</v>
      </c>
      <c r="D357" s="703">
        <f>D347*'DM_xx_Prejazdené km'!$C$10*$F$31*$F$41</f>
        <v>2427495.0442706249</v>
      </c>
      <c r="E357" s="703">
        <f>E347*'DM_xx_Prejazdené km'!$C$10*$F$31*$F$41</f>
        <v>19554955.113330003</v>
      </c>
      <c r="F357" s="703">
        <f>F347*'DM_xx_Prejazdené km'!$C$10*$F$31*$F$41</f>
        <v>39379899.744989999</v>
      </c>
      <c r="G357" s="703">
        <f>G347*'DM_xx_Prejazdené km'!$C$10*$F$31*$F$41</f>
        <v>39649889.263320006</v>
      </c>
      <c r="H357" s="703">
        <f>H347*'DM_xx_Prejazdené km'!$C$10*$F$31*$F$41</f>
        <v>39919878.781649999</v>
      </c>
      <c r="I357" s="703">
        <f>I347*'DM_xx_Prejazdené km'!$C$10*$F$31*$F$41</f>
        <v>40189868.299980007</v>
      </c>
      <c r="J357" s="923">
        <f>J347*'DM_xx_Prejazdené km'!$C$10*$F$31*$F$41</f>
        <v>40459857.818309993</v>
      </c>
      <c r="K357" s="703">
        <f>K347*'DM_xx_Prejazdené km'!$C$10*$F$31*$F$41</f>
        <v>40729847.336640008</v>
      </c>
      <c r="M357" s="22"/>
      <c r="N357" s="22"/>
      <c r="O357" s="22"/>
      <c r="P357" s="22"/>
    </row>
    <row r="358" spans="3:16">
      <c r="C358" s="702" t="s">
        <v>927</v>
      </c>
      <c r="D358" s="703">
        <f>D348*'DM_xx_Prejazdené km'!$C$10*$F$32*$F$41</f>
        <v>303808.33056262502</v>
      </c>
      <c r="E358" s="703">
        <f>E348*'DM_xx_Prejazdené km'!$C$10*$F$32*$F$41</f>
        <v>1223680.8230010001</v>
      </c>
      <c r="F358" s="703">
        <f>F348*'DM_xx_Prejazdené km'!$C$10*$F$32*$F$41</f>
        <v>2464256.6475029998</v>
      </c>
      <c r="G358" s="703">
        <f>G348*'DM_xx_Prejazdené km'!$C$10*$F$32*$F$41</f>
        <v>2481151.6490040002</v>
      </c>
      <c r="H358" s="703">
        <f>H348*'DM_xx_Prejazdené km'!$C$10*$F$32*$F$41</f>
        <v>2498046.6505050003</v>
      </c>
      <c r="I358" s="703">
        <f>I348*'DM_xx_Prejazdené km'!$C$10*$F$32*$F$41</f>
        <v>2514941.6520060003</v>
      </c>
      <c r="J358" s="923">
        <f>J348*'DM_xx_Prejazdené km'!$C$10*$F$32*$F$41</f>
        <v>2531836.6535069998</v>
      </c>
      <c r="K358" s="703">
        <f>K348*'DM_xx_Prejazdené km'!$C$10*$F$32*$F$41</f>
        <v>2548731.6550080003</v>
      </c>
      <c r="M358" s="22"/>
      <c r="N358" s="22"/>
      <c r="O358" s="22"/>
      <c r="P358" s="22"/>
    </row>
    <row r="359" spans="3:16">
      <c r="C359" s="702" t="s">
        <v>918</v>
      </c>
      <c r="D359" s="703">
        <f>D349*'DM_xx_Prejazdené km'!$D$10*'B_02 Benefity varianty'!$F$31*$F$41</f>
        <v>1555550.4202220938</v>
      </c>
      <c r="E359" s="703">
        <f>E349*'DM_xx_Prejazdené km'!$D$10*'B_02 Benefity varianty'!$F$31*$F$41</f>
        <v>12530908.648303501</v>
      </c>
      <c r="F359" s="703">
        <f>F349*'DM_xx_Prejazdené km'!$D$10*'B_02 Benefity varianty'!$F$31*$F$41</f>
        <v>25234827.8696605</v>
      </c>
      <c r="G359" s="703">
        <f>G349*'DM_xx_Prejazdené km'!$D$10*'B_02 Benefity varianty'!$F$31*$F$41</f>
        <v>25407838.442714006</v>
      </c>
      <c r="H359" s="703">
        <f>H349*'DM_xx_Prejazdené km'!$D$10*'B_02 Benefity varianty'!$F$31*$F$41</f>
        <v>25580849.015767504</v>
      </c>
      <c r="I359" s="703">
        <f>I349*'DM_xx_Prejazdené km'!$D$10*'B_02 Benefity varianty'!$F$31*$F$41</f>
        <v>25753859.588821005</v>
      </c>
      <c r="J359" s="923">
        <f>J349*'DM_xx_Prejazdené km'!$D$10*'B_02 Benefity varianty'!$F$31*$F$41</f>
        <v>25926870.161874503</v>
      </c>
      <c r="K359" s="703">
        <f>K349*'DM_xx_Prejazdené km'!$D$10*'B_02 Benefity varianty'!$F$31*$F$41</f>
        <v>26099880.734928008</v>
      </c>
      <c r="M359" s="22"/>
      <c r="N359" s="22"/>
      <c r="O359" s="22"/>
      <c r="P359" s="22"/>
    </row>
    <row r="360" spans="3:16">
      <c r="C360" s="706" t="s">
        <v>919</v>
      </c>
      <c r="D360" s="703">
        <f>D350*'DM_xx_Prejazdené km'!$D$10*'B_02 Benefity varianty'!$F$32*$F$41</f>
        <v>183506.85362611874</v>
      </c>
      <c r="E360" s="703">
        <f>E350*'DM_xx_Prejazdené km'!$D$10*'B_02 Benefity varianty'!$F$32*$F$41</f>
        <v>1478259.7781678997</v>
      </c>
      <c r="F360" s="703">
        <f>F350*'DM_xx_Prejazdené km'!$D$10*'B_02 Benefity varianty'!$F$32*$F$41</f>
        <v>2976929.4546536999</v>
      </c>
      <c r="G360" s="703">
        <f>G350*'DM_xx_Prejazdené km'!$D$10*'B_02 Benefity varianty'!$F$32*$F$41</f>
        <v>2997339.3529716004</v>
      </c>
      <c r="H360" s="703">
        <f>H350*'DM_xx_Prejazdené km'!$D$10*'B_02 Benefity varianty'!$F$32*$F$41</f>
        <v>3017749.2512894999</v>
      </c>
      <c r="I360" s="703">
        <f>I350*'DM_xx_Prejazdené km'!$D$10*'B_02 Benefity varianty'!$F$32*$F$41</f>
        <v>3038159.1496073999</v>
      </c>
      <c r="J360" s="923">
        <f>J350*'DM_xx_Prejazdené km'!$D$10*'B_02 Benefity varianty'!$F$32*$F$41</f>
        <v>3058569.0479252995</v>
      </c>
      <c r="K360" s="703">
        <f>K350*'DM_xx_Prejazdené km'!$D$10*'B_02 Benefity varianty'!$F$32*$F$41</f>
        <v>3078978.9462432005</v>
      </c>
      <c r="M360" s="22"/>
      <c r="N360" s="22"/>
      <c r="O360" s="22"/>
      <c r="P360" s="22"/>
    </row>
    <row r="361" spans="3:16">
      <c r="C361" s="704" t="s">
        <v>1055</v>
      </c>
      <c r="D361" s="713">
        <f t="shared" ref="D361:K362" si="142">D339*D97</f>
        <v>20895164.434712917</v>
      </c>
      <c r="E361" s="713">
        <f t="shared" si="142"/>
        <v>41191887.646163739</v>
      </c>
      <c r="F361" s="713">
        <f t="shared" si="142"/>
        <v>40616308.073291257</v>
      </c>
      <c r="G361" s="713">
        <f t="shared" si="142"/>
        <v>39997452.452618055</v>
      </c>
      <c r="H361" s="713">
        <f t="shared" si="142"/>
        <v>39388006.267772831</v>
      </c>
      <c r="I361" s="713">
        <f t="shared" si="142"/>
        <v>38787826.108255491</v>
      </c>
      <c r="J361" s="752">
        <f t="shared" si="142"/>
        <v>38196770.756663173</v>
      </c>
      <c r="K361" s="931">
        <f t="shared" si="142"/>
        <v>37614701.155329861</v>
      </c>
      <c r="M361" s="22"/>
      <c r="N361" s="22"/>
      <c r="O361" s="22"/>
      <c r="P361" s="22"/>
    </row>
    <row r="362" spans="3:16">
      <c r="C362" s="702" t="s">
        <v>1056</v>
      </c>
      <c r="D362" s="142">
        <f t="shared" si="142"/>
        <v>22241686.399184126</v>
      </c>
      <c r="E362" s="142">
        <f t="shared" si="142"/>
        <v>43846366.946716413</v>
      </c>
      <c r="F362" s="142">
        <f t="shared" si="142"/>
        <v>43233695.991309218</v>
      </c>
      <c r="G362" s="142">
        <f t="shared" si="142"/>
        <v>42574960.201773189</v>
      </c>
      <c r="H362" s="142">
        <f t="shared" si="142"/>
        <v>41926240.209027514</v>
      </c>
      <c r="I362" s="142">
        <f t="shared" si="142"/>
        <v>41287383.360941619</v>
      </c>
      <c r="J362" s="753">
        <f t="shared" si="142"/>
        <v>40658239.339809321</v>
      </c>
      <c r="K362" s="714">
        <f t="shared" si="142"/>
        <v>40038660.126838587</v>
      </c>
      <c r="M362" s="22"/>
      <c r="N362" s="22"/>
      <c r="O362" s="22"/>
      <c r="P362" s="22"/>
    </row>
    <row r="363" spans="3:16">
      <c r="C363" s="702" t="s">
        <v>1107</v>
      </c>
      <c r="D363" s="142">
        <f t="shared" ref="D363:K363" si="143">(D341+D342)*D100</f>
        <v>45153760.865848906</v>
      </c>
      <c r="E363" s="142">
        <f t="shared" si="143"/>
        <v>89487716.397837996</v>
      </c>
      <c r="F363" s="142">
        <f t="shared" si="143"/>
        <v>88706566.943594977</v>
      </c>
      <c r="G363" s="142">
        <f t="shared" si="143"/>
        <v>87819559.433306128</v>
      </c>
      <c r="H363" s="142">
        <f t="shared" si="143"/>
        <v>86941377.628655955</v>
      </c>
      <c r="I363" s="142">
        <f t="shared" si="143"/>
        <v>86071932.718494296</v>
      </c>
      <c r="J363" s="753">
        <f t="shared" si="143"/>
        <v>85211136.792364001</v>
      </c>
      <c r="K363" s="714">
        <f t="shared" si="143"/>
        <v>84358902.831955612</v>
      </c>
    </row>
    <row r="364" spans="3:16">
      <c r="C364" s="702" t="s">
        <v>1058</v>
      </c>
      <c r="D364" s="142">
        <f t="shared" ref="D364:K364" si="144">D343*D101</f>
        <v>57222906.880035073</v>
      </c>
      <c r="E364" s="142">
        <f t="shared" si="144"/>
        <v>118291061.38440068</v>
      </c>
      <c r="F364" s="142">
        <f t="shared" si="144"/>
        <v>122308542.38877575</v>
      </c>
      <c r="G364" s="142">
        <f t="shared" si="144"/>
        <v>126300418.1606902</v>
      </c>
      <c r="H364" s="142">
        <f t="shared" si="144"/>
        <v>130422514.09360424</v>
      </c>
      <c r="I364" s="142">
        <f t="shared" si="144"/>
        <v>134679073.74667659</v>
      </c>
      <c r="J364" s="753">
        <f t="shared" si="144"/>
        <v>139074478.72121844</v>
      </c>
      <c r="K364" s="714">
        <f t="shared" si="144"/>
        <v>143613253.13967806</v>
      </c>
      <c r="M364" s="22"/>
      <c r="N364" s="22"/>
      <c r="O364" s="22"/>
      <c r="P364" s="22"/>
    </row>
    <row r="365" spans="3:16">
      <c r="C365" s="706" t="s">
        <v>1061</v>
      </c>
      <c r="D365" s="181">
        <f t="shared" ref="D365:K365" si="145">SUM(D361:D364)</f>
        <v>145513518.57978103</v>
      </c>
      <c r="E365" s="181">
        <f t="shared" si="145"/>
        <v>292817032.37511885</v>
      </c>
      <c r="F365" s="181">
        <f t="shared" si="145"/>
        <v>294865113.39697123</v>
      </c>
      <c r="G365" s="181">
        <f t="shared" si="145"/>
        <v>296692390.24838758</v>
      </c>
      <c r="H365" s="181">
        <f t="shared" si="145"/>
        <v>298678138.19906056</v>
      </c>
      <c r="I365" s="181">
        <f t="shared" si="145"/>
        <v>300826215.93436801</v>
      </c>
      <c r="J365" s="924">
        <f t="shared" si="145"/>
        <v>303140625.61005497</v>
      </c>
      <c r="K365" s="715">
        <f t="shared" si="145"/>
        <v>305625517.25380212</v>
      </c>
      <c r="M365" s="22"/>
      <c r="N365" s="22"/>
      <c r="O365" s="22"/>
      <c r="P365" s="22"/>
    </row>
    <row r="366" spans="3:16">
      <c r="C366" s="706" t="s">
        <v>897</v>
      </c>
      <c r="D366" s="718">
        <f>D346*($F$46-$F$47)*AVERAGE($H$36:$H$38)</f>
        <v>204308.87009211048</v>
      </c>
      <c r="E366" s="718">
        <f t="shared" ref="E366:K366" si="146">E346*($F$46-$F$47)*AVERAGE($H$36:$H$38)</f>
        <v>815687.18550843175</v>
      </c>
      <c r="F366" s="718">
        <f t="shared" si="146"/>
        <v>1221835.4034057909</v>
      </c>
      <c r="G366" s="718">
        <f t="shared" si="146"/>
        <v>1625030.4261577434</v>
      </c>
      <c r="H366" s="718">
        <f t="shared" si="146"/>
        <v>2026520.7954902006</v>
      </c>
      <c r="I366" s="718">
        <f t="shared" si="146"/>
        <v>2426509.4642343363</v>
      </c>
      <c r="J366" s="925">
        <f t="shared" si="146"/>
        <v>2825200.2269216483</v>
      </c>
      <c r="K366" s="932">
        <f t="shared" si="146"/>
        <v>3222797.9796584174</v>
      </c>
      <c r="M366" s="22"/>
      <c r="N366" s="22"/>
      <c r="O366" s="22"/>
      <c r="P366" s="22"/>
    </row>
    <row r="367" spans="3:16">
      <c r="C367" s="704" t="s">
        <v>1075</v>
      </c>
      <c r="D367" s="716">
        <f t="shared" ref="D367:K367" si="147">-(SUM(D357:D360)*$F$5)</f>
        <v>-74100.215397835127</v>
      </c>
      <c r="E367" s="716">
        <f t="shared" si="147"/>
        <v>-576638.88869049668</v>
      </c>
      <c r="F367" s="716">
        <f t="shared" si="147"/>
        <v>-1161239.2610512762</v>
      </c>
      <c r="G367" s="716">
        <f t="shared" si="147"/>
        <v>-1169200.7447215596</v>
      </c>
      <c r="H367" s="716">
        <f t="shared" si="147"/>
        <v>-1177162.2283918425</v>
      </c>
      <c r="I367" s="716">
        <f t="shared" si="147"/>
        <v>-1185123.7120621256</v>
      </c>
      <c r="J367" s="926">
        <f t="shared" si="147"/>
        <v>-1193085.195732408</v>
      </c>
      <c r="K367" s="717">
        <f t="shared" si="147"/>
        <v>-1201046.6794026915</v>
      </c>
      <c r="M367" s="22"/>
      <c r="N367" s="22"/>
      <c r="O367" s="22"/>
      <c r="P367" s="22"/>
    </row>
    <row r="368" spans="3:16">
      <c r="C368" s="702" t="s">
        <v>1062</v>
      </c>
      <c r="D368" s="378">
        <f t="shared" ref="D368:K368" si="148">SUM(D357:D360)*$F$6</f>
        <v>266650.39395798795</v>
      </c>
      <c r="E368" s="378">
        <f t="shared" si="148"/>
        <v>2075041.0240414699</v>
      </c>
      <c r="F368" s="378">
        <f t="shared" si="148"/>
        <v>4178731.5296771997</v>
      </c>
      <c r="G368" s="378">
        <f t="shared" si="148"/>
        <v>4207381.0112714628</v>
      </c>
      <c r="H368" s="378">
        <f t="shared" si="148"/>
        <v>4236030.4928657226</v>
      </c>
      <c r="I368" s="378">
        <f t="shared" si="148"/>
        <v>4264679.9744599843</v>
      </c>
      <c r="J368" s="378">
        <f t="shared" si="148"/>
        <v>4293329.4560542433</v>
      </c>
      <c r="K368" s="717">
        <f t="shared" si="148"/>
        <v>4321978.9376485059</v>
      </c>
      <c r="M368" s="22"/>
      <c r="N368" s="22"/>
      <c r="O368" s="22"/>
      <c r="P368" s="22"/>
    </row>
    <row r="369" spans="3:16">
      <c r="C369" s="719" t="s">
        <v>1109</v>
      </c>
      <c r="D369" s="142">
        <f t="shared" ref="D369:K369" si="149">D367+D368</f>
        <v>192550.17856015282</v>
      </c>
      <c r="E369" s="142">
        <f t="shared" si="149"/>
        <v>1498402.1353509733</v>
      </c>
      <c r="F369" s="142">
        <f t="shared" si="149"/>
        <v>3017492.2686259234</v>
      </c>
      <c r="G369" s="142">
        <f t="shared" si="149"/>
        <v>3038180.266549903</v>
      </c>
      <c r="H369" s="142">
        <f t="shared" si="149"/>
        <v>3058868.2644738802</v>
      </c>
      <c r="I369" s="142">
        <f t="shared" si="149"/>
        <v>3079556.2623978588</v>
      </c>
      <c r="J369" s="142">
        <f t="shared" si="149"/>
        <v>3100244.2603218351</v>
      </c>
      <c r="K369" s="714">
        <f t="shared" si="149"/>
        <v>3120932.2582458146</v>
      </c>
      <c r="M369" s="22"/>
      <c r="N369" s="22"/>
      <c r="O369" s="22"/>
      <c r="P369" s="22"/>
    </row>
    <row r="370" spans="3:16">
      <c r="C370" s="702" t="s">
        <v>1074</v>
      </c>
      <c r="D370" s="142">
        <f t="shared" ref="D370:K370" si="150">-SUM(D357:D360)*$F$7</f>
        <v>-47133.8662172447</v>
      </c>
      <c r="E370" s="142">
        <f t="shared" si="150"/>
        <v>-366790.03008664108</v>
      </c>
      <c r="F370" s="142">
        <f t="shared" si="150"/>
        <v>-738644.2223243796</v>
      </c>
      <c r="G370" s="142">
        <f t="shared" si="150"/>
        <v>-743708.38447547751</v>
      </c>
      <c r="H370" s="142">
        <f t="shared" si="150"/>
        <v>-748772.54662657494</v>
      </c>
      <c r="I370" s="142">
        <f t="shared" si="150"/>
        <v>-753836.70877767273</v>
      </c>
      <c r="J370" s="142">
        <f t="shared" si="150"/>
        <v>-758900.87092876993</v>
      </c>
      <c r="K370" s="714">
        <f t="shared" si="150"/>
        <v>-763965.03307986783</v>
      </c>
      <c r="M370" s="22"/>
      <c r="N370" s="22"/>
      <c r="O370" s="22"/>
      <c r="P370" s="22"/>
    </row>
    <row r="371" spans="3:16">
      <c r="C371" s="702" t="s">
        <v>1076</v>
      </c>
      <c r="D371" s="142">
        <f t="shared" ref="D371:K371" si="151">(SUM(D357:D360)*$F$8*D$61)+(SUM(D357:D360)*$F$9*(1-D$61))</f>
        <v>37733.461866735975</v>
      </c>
      <c r="E371" s="142">
        <f t="shared" si="151"/>
        <v>291449.93527459871</v>
      </c>
      <c r="F371" s="142">
        <f t="shared" si="151"/>
        <v>581739.66381248564</v>
      </c>
      <c r="G371" s="142">
        <f t="shared" si="151"/>
        <v>579755.84779511089</v>
      </c>
      <c r="H371" s="142">
        <f t="shared" si="151"/>
        <v>576964.63461712527</v>
      </c>
      <c r="I371" s="142">
        <f t="shared" si="151"/>
        <v>573205.37143294804</v>
      </c>
      <c r="J371" s="142">
        <f t="shared" si="151"/>
        <v>568321.5705428631</v>
      </c>
      <c r="K371" s="714">
        <f t="shared" si="151"/>
        <v>562160.91610695899</v>
      </c>
    </row>
    <row r="372" spans="3:16">
      <c r="C372" s="719" t="s">
        <v>1110</v>
      </c>
      <c r="D372" s="142">
        <f t="shared" ref="D372:K372" si="152">D370+D371</f>
        <v>-9400.4043505087247</v>
      </c>
      <c r="E372" s="142">
        <f t="shared" si="152"/>
        <v>-75340.094812042371</v>
      </c>
      <c r="F372" s="142">
        <f t="shared" si="152"/>
        <v>-156904.55851189396</v>
      </c>
      <c r="G372" s="142">
        <f t="shared" si="152"/>
        <v>-163952.53668036661</v>
      </c>
      <c r="H372" s="142">
        <f t="shared" si="152"/>
        <v>-171807.91200944968</v>
      </c>
      <c r="I372" s="142">
        <f t="shared" si="152"/>
        <v>-180631.33734472468</v>
      </c>
      <c r="J372" s="142">
        <f t="shared" si="152"/>
        <v>-190579.30038590683</v>
      </c>
      <c r="K372" s="714">
        <f t="shared" si="152"/>
        <v>-201804.11697290884</v>
      </c>
    </row>
    <row r="373" spans="3:16">
      <c r="C373" s="702" t="s">
        <v>1077</v>
      </c>
      <c r="D373" s="142">
        <f t="shared" ref="D373:K373" si="153">-SUM(D357:D360)*$F$10</f>
        <v>-14872.709867601494</v>
      </c>
      <c r="E373" s="142">
        <f t="shared" si="153"/>
        <v>-115737.62429468548</v>
      </c>
      <c r="F373" s="142">
        <f t="shared" si="153"/>
        <v>-233073.20395438626</v>
      </c>
      <c r="G373" s="142">
        <f t="shared" si="153"/>
        <v>-234671.15931940175</v>
      </c>
      <c r="H373" s="142">
        <f t="shared" si="153"/>
        <v>-236269.11468441709</v>
      </c>
      <c r="I373" s="142">
        <f t="shared" si="153"/>
        <v>-237867.07004943251</v>
      </c>
      <c r="J373" s="142">
        <f t="shared" si="153"/>
        <v>-239465.02541444779</v>
      </c>
      <c r="K373" s="714">
        <f t="shared" si="153"/>
        <v>-241062.98077946325</v>
      </c>
    </row>
    <row r="374" spans="3:16">
      <c r="C374" s="702" t="s">
        <v>1078</v>
      </c>
      <c r="D374" s="142">
        <f t="shared" ref="D374:K374" si="154">(SUM(D357:D360)*$F$11*D$61)+(SUM(D357:D360)*$F$13*(1-D$61))</f>
        <v>24127.879002030255</v>
      </c>
      <c r="E374" s="142">
        <f t="shared" si="154"/>
        <v>187715.9276973012</v>
      </c>
      <c r="F374" s="142">
        <f t="shared" si="154"/>
        <v>377918.59642841475</v>
      </c>
      <c r="G374" s="142">
        <f t="shared" si="154"/>
        <v>380388.65648865682</v>
      </c>
      <c r="H374" s="142">
        <f t="shared" si="154"/>
        <v>382842.36392756074</v>
      </c>
      <c r="I374" s="142">
        <f t="shared" si="154"/>
        <v>385276.4649621328</v>
      </c>
      <c r="J374" s="142">
        <f t="shared" si="154"/>
        <v>387687.79016817565</v>
      </c>
      <c r="K374" s="714">
        <f t="shared" si="154"/>
        <v>390073.25461627037</v>
      </c>
    </row>
    <row r="375" spans="3:16">
      <c r="C375" s="719" t="s">
        <v>1111</v>
      </c>
      <c r="D375" s="142">
        <f t="shared" ref="D375:K375" si="155">D373+D374</f>
        <v>9255.169134428761</v>
      </c>
      <c r="E375" s="142">
        <f t="shared" si="155"/>
        <v>71978.303402615726</v>
      </c>
      <c r="F375" s="142">
        <f t="shared" si="155"/>
        <v>144845.39247402849</v>
      </c>
      <c r="G375" s="142">
        <f t="shared" si="155"/>
        <v>145717.49716925508</v>
      </c>
      <c r="H375" s="142">
        <f t="shared" si="155"/>
        <v>146573.24924314365</v>
      </c>
      <c r="I375" s="142">
        <f t="shared" si="155"/>
        <v>147409.39491270029</v>
      </c>
      <c r="J375" s="142">
        <f t="shared" si="155"/>
        <v>148222.76475372785</v>
      </c>
      <c r="K375" s="714">
        <f t="shared" si="155"/>
        <v>149010.27383680712</v>
      </c>
    </row>
    <row r="376" spans="3:16">
      <c r="C376" s="702" t="s">
        <v>1081</v>
      </c>
      <c r="D376" s="142">
        <f t="shared" ref="D376:K376" si="156">-SUM(D357:D360)*$F$14</f>
        <v>-69968.536166263642</v>
      </c>
      <c r="E376" s="142">
        <f t="shared" si="156"/>
        <v>-544486.66203733918</v>
      </c>
      <c r="F376" s="142">
        <f t="shared" si="156"/>
        <v>-1096490.8914006376</v>
      </c>
      <c r="G376" s="142">
        <f t="shared" si="156"/>
        <v>-1104008.4587265973</v>
      </c>
      <c r="H376" s="142">
        <f t="shared" si="156"/>
        <v>-1111526.0260525565</v>
      </c>
      <c r="I376" s="142">
        <f t="shared" si="156"/>
        <v>-1119043.5933785159</v>
      </c>
      <c r="J376" s="142">
        <f t="shared" si="156"/>
        <v>-1126561.1607044747</v>
      </c>
      <c r="K376" s="714">
        <f t="shared" si="156"/>
        <v>-1134078.7280304346</v>
      </c>
    </row>
    <row r="377" spans="3:16">
      <c r="C377" s="702" t="s">
        <v>1082</v>
      </c>
      <c r="D377" s="142">
        <f t="shared" ref="D377:K377" si="157">(SUM(D357:D360)*$F$15*D$61)+(SUM(D357:D360)*$F$17*(1-D$61))</f>
        <v>170138.8277802401</v>
      </c>
      <c r="E377" s="142">
        <f t="shared" si="157"/>
        <v>1314165.5048018892</v>
      </c>
      <c r="F377" s="142">
        <f t="shared" si="157"/>
        <v>2623166.8767383988</v>
      </c>
      <c r="G377" s="142">
        <f t="shared" si="157"/>
        <v>2614299.7330107875</v>
      </c>
      <c r="H377" s="142">
        <f t="shared" si="157"/>
        <v>2601802.4693633639</v>
      </c>
      <c r="I377" s="142">
        <f t="shared" si="157"/>
        <v>2584952.7782090227</v>
      </c>
      <c r="J377" s="142">
        <f t="shared" si="157"/>
        <v>2563047.0787777812</v>
      </c>
      <c r="K377" s="714">
        <f t="shared" si="157"/>
        <v>2535400.5473031681</v>
      </c>
    </row>
    <row r="378" spans="3:16">
      <c r="C378" s="720" t="s">
        <v>1112</v>
      </c>
      <c r="D378" s="181">
        <f t="shared" ref="D378:K378" si="158">D376+D377</f>
        <v>100170.29161397646</v>
      </c>
      <c r="E378" s="181">
        <f t="shared" si="158"/>
        <v>769678.84276455001</v>
      </c>
      <c r="F378" s="181">
        <f t="shared" si="158"/>
        <v>1526675.9853377612</v>
      </c>
      <c r="G378" s="181">
        <f t="shared" si="158"/>
        <v>1510291.2742841903</v>
      </c>
      <c r="H378" s="181">
        <f t="shared" si="158"/>
        <v>1490276.4433108075</v>
      </c>
      <c r="I378" s="181">
        <f t="shared" si="158"/>
        <v>1465909.1848305068</v>
      </c>
      <c r="J378" s="181">
        <f t="shared" si="158"/>
        <v>1436485.9180733066</v>
      </c>
      <c r="K378" s="715">
        <f t="shared" si="158"/>
        <v>1401321.8192727335</v>
      </c>
      <c r="M378" s="22"/>
      <c r="N378" s="22"/>
      <c r="O378" s="22"/>
      <c r="P378" s="22"/>
    </row>
    <row r="379" spans="3:16" ht="15.75" thickBot="1">
      <c r="C379" s="22"/>
      <c r="D379" s="46"/>
      <c r="E379" s="46"/>
      <c r="F379" s="46"/>
      <c r="G379" s="46"/>
      <c r="H379" s="46"/>
      <c r="I379" s="46"/>
      <c r="J379" s="46"/>
      <c r="K379" s="46"/>
      <c r="M379" s="22"/>
      <c r="N379" s="22"/>
      <c r="O379" s="22"/>
      <c r="P379" s="22"/>
    </row>
    <row r="380" spans="3:16">
      <c r="C380" s="723" t="s">
        <v>530</v>
      </c>
      <c r="D380" s="724">
        <v>2026</v>
      </c>
      <c r="E380" s="724">
        <v>2027</v>
      </c>
      <c r="F380" s="724">
        <v>2028</v>
      </c>
      <c r="G380" s="724">
        <v>2029</v>
      </c>
      <c r="H380" s="724">
        <v>2030</v>
      </c>
      <c r="I380" s="724">
        <v>2031</v>
      </c>
      <c r="J380" s="724">
        <v>2032</v>
      </c>
      <c r="K380" s="757">
        <v>2033</v>
      </c>
      <c r="L380" s="788" t="s">
        <v>203</v>
      </c>
      <c r="M380" s="187"/>
    </row>
    <row r="381" spans="3:16">
      <c r="C381" s="704" t="s">
        <v>416</v>
      </c>
      <c r="D381" s="713">
        <f t="shared" ref="D381:K381" si="159">D365-D129</f>
        <v>48800.625419288874</v>
      </c>
      <c r="E381" s="713">
        <f t="shared" si="159"/>
        <v>375555.79488611221</v>
      </c>
      <c r="F381" s="713">
        <f t="shared" si="159"/>
        <v>760736.92162048817</v>
      </c>
      <c r="G381" s="713">
        <f t="shared" si="159"/>
        <v>770680.6293977499</v>
      </c>
      <c r="H381" s="713">
        <f t="shared" si="159"/>
        <v>780953.0566381216</v>
      </c>
      <c r="I381" s="713">
        <f t="shared" si="159"/>
        <v>791564.50628054142</v>
      </c>
      <c r="J381" s="713">
        <f t="shared" si="159"/>
        <v>802525.21665990353</v>
      </c>
      <c r="K381" s="752">
        <f t="shared" si="159"/>
        <v>813845.33579212427</v>
      </c>
      <c r="L381" s="122">
        <f>SUM(D381:K381)</f>
        <v>5144662.08669433</v>
      </c>
      <c r="M381" s="22"/>
      <c r="N381" s="22"/>
      <c r="O381" s="22"/>
      <c r="P381" s="22"/>
    </row>
    <row r="382" spans="3:16">
      <c r="C382" s="702" t="s">
        <v>875</v>
      </c>
      <c r="D382" s="142">
        <f t="shared" ref="D382:K382" si="160">D345*$F$30</f>
        <v>203978.87645611726</v>
      </c>
      <c r="E382" s="142">
        <f t="shared" si="160"/>
        <v>400739.0324192266</v>
      </c>
      <c r="F382" s="142">
        <f t="shared" si="160"/>
        <v>393840.21857604926</v>
      </c>
      <c r="G382" s="142">
        <f t="shared" si="160"/>
        <v>386617.18652685836</v>
      </c>
      <c r="H382" s="142">
        <f t="shared" si="160"/>
        <v>379578.82382598059</v>
      </c>
      <c r="I382" s="142">
        <f t="shared" si="160"/>
        <v>372720.18556348386</v>
      </c>
      <c r="J382" s="142">
        <f t="shared" si="160"/>
        <v>366036.46282285376</v>
      </c>
      <c r="K382" s="753">
        <f t="shared" si="160"/>
        <v>359522.97887423553</v>
      </c>
      <c r="L382" s="122">
        <f t="shared" ref="L382:L388" si="161">SUM(D382:K382)</f>
        <v>2863033.7650648048</v>
      </c>
      <c r="M382" s="22"/>
      <c r="N382" s="22"/>
      <c r="O382" s="22"/>
      <c r="P382" s="22"/>
    </row>
    <row r="383" spans="3:16">
      <c r="C383" s="702" t="s">
        <v>880</v>
      </c>
      <c r="D383" s="142">
        <f t="shared" ref="D383:K383" si="162">D366</f>
        <v>204308.87009211048</v>
      </c>
      <c r="E383" s="142">
        <f t="shared" si="162"/>
        <v>815687.18550843175</v>
      </c>
      <c r="F383" s="142">
        <f t="shared" si="162"/>
        <v>1221835.4034057909</v>
      </c>
      <c r="G383" s="142">
        <f t="shared" si="162"/>
        <v>1625030.4261577434</v>
      </c>
      <c r="H383" s="142">
        <f t="shared" si="162"/>
        <v>2026520.7954902006</v>
      </c>
      <c r="I383" s="142">
        <f t="shared" si="162"/>
        <v>2426509.4642343363</v>
      </c>
      <c r="J383" s="142">
        <f t="shared" si="162"/>
        <v>2825200.2269216483</v>
      </c>
      <c r="K383" s="753">
        <f t="shared" si="162"/>
        <v>3222797.9796584174</v>
      </c>
      <c r="L383" s="122">
        <f t="shared" si="161"/>
        <v>14367890.351468679</v>
      </c>
      <c r="M383" s="22"/>
      <c r="N383" s="22"/>
      <c r="O383" s="22"/>
      <c r="P383" s="22"/>
    </row>
    <row r="384" spans="3:16">
      <c r="C384" s="702" t="s">
        <v>417</v>
      </c>
      <c r="D384" s="142">
        <f t="shared" ref="D384:K384" si="163">D369</f>
        <v>192550.17856015282</v>
      </c>
      <c r="E384" s="142">
        <f t="shared" si="163"/>
        <v>1498402.1353509733</v>
      </c>
      <c r="F384" s="142">
        <f t="shared" si="163"/>
        <v>3017492.2686259234</v>
      </c>
      <c r="G384" s="142">
        <f t="shared" si="163"/>
        <v>3038180.266549903</v>
      </c>
      <c r="H384" s="142">
        <f t="shared" si="163"/>
        <v>3058868.2644738802</v>
      </c>
      <c r="I384" s="142">
        <f t="shared" si="163"/>
        <v>3079556.2623978588</v>
      </c>
      <c r="J384" s="142">
        <f t="shared" si="163"/>
        <v>3100244.2603218351</v>
      </c>
      <c r="K384" s="753">
        <f t="shared" si="163"/>
        <v>3120932.2582458146</v>
      </c>
      <c r="L384" s="122">
        <f t="shared" si="161"/>
        <v>20106225.894526344</v>
      </c>
    </row>
    <row r="385" spans="1:16">
      <c r="C385" s="702" t="s">
        <v>1158</v>
      </c>
      <c r="D385" s="142">
        <f t="shared" ref="D385:K385" si="164">D372</f>
        <v>-9400.4043505087247</v>
      </c>
      <c r="E385" s="142">
        <f t="shared" si="164"/>
        <v>-75340.094812042371</v>
      </c>
      <c r="F385" s="142">
        <f t="shared" si="164"/>
        <v>-156904.55851189396</v>
      </c>
      <c r="G385" s="142">
        <f t="shared" si="164"/>
        <v>-163952.53668036661</v>
      </c>
      <c r="H385" s="142">
        <f t="shared" si="164"/>
        <v>-171807.91200944968</v>
      </c>
      <c r="I385" s="142">
        <f t="shared" si="164"/>
        <v>-180631.33734472468</v>
      </c>
      <c r="J385" s="142">
        <f t="shared" si="164"/>
        <v>-190579.30038590683</v>
      </c>
      <c r="K385" s="753">
        <f t="shared" si="164"/>
        <v>-201804.11697290884</v>
      </c>
      <c r="L385" s="122">
        <f t="shared" si="161"/>
        <v>-1150420.2610678016</v>
      </c>
      <c r="M385" s="22"/>
      <c r="N385" s="22"/>
      <c r="O385" s="22"/>
      <c r="P385" s="22"/>
    </row>
    <row r="386" spans="1:16">
      <c r="C386" s="702" t="s">
        <v>419</v>
      </c>
      <c r="D386" s="142">
        <f t="shared" ref="D386:K386" si="165">D375</f>
        <v>9255.169134428761</v>
      </c>
      <c r="E386" s="142">
        <f t="shared" si="165"/>
        <v>71978.303402615726</v>
      </c>
      <c r="F386" s="142">
        <f t="shared" si="165"/>
        <v>144845.39247402849</v>
      </c>
      <c r="G386" s="142">
        <f t="shared" si="165"/>
        <v>145717.49716925508</v>
      </c>
      <c r="H386" s="142">
        <f t="shared" si="165"/>
        <v>146573.24924314365</v>
      </c>
      <c r="I386" s="142">
        <f t="shared" si="165"/>
        <v>147409.39491270029</v>
      </c>
      <c r="J386" s="142">
        <f t="shared" si="165"/>
        <v>148222.76475372785</v>
      </c>
      <c r="K386" s="753">
        <f t="shared" si="165"/>
        <v>149010.27383680712</v>
      </c>
      <c r="L386" s="122">
        <f t="shared" si="161"/>
        <v>963012.04492670693</v>
      </c>
    </row>
    <row r="387" spans="1:16" ht="15.75" thickBot="1">
      <c r="C387" s="721" t="s">
        <v>1189</v>
      </c>
      <c r="D387" s="722">
        <f t="shared" ref="D387:K387" si="166">D378</f>
        <v>100170.29161397646</v>
      </c>
      <c r="E387" s="722">
        <f t="shared" si="166"/>
        <v>769678.84276455001</v>
      </c>
      <c r="F387" s="722">
        <f t="shared" si="166"/>
        <v>1526675.9853377612</v>
      </c>
      <c r="G387" s="722">
        <f t="shared" si="166"/>
        <v>1510291.2742841903</v>
      </c>
      <c r="H387" s="722">
        <f t="shared" si="166"/>
        <v>1490276.4433108075</v>
      </c>
      <c r="I387" s="722">
        <f t="shared" si="166"/>
        <v>1465909.1848305068</v>
      </c>
      <c r="J387" s="722">
        <f t="shared" si="166"/>
        <v>1436485.9180733066</v>
      </c>
      <c r="K387" s="754">
        <f t="shared" si="166"/>
        <v>1401321.8192727335</v>
      </c>
      <c r="L387" s="751">
        <f t="shared" si="161"/>
        <v>9700809.759487832</v>
      </c>
    </row>
    <row r="388" spans="1:16" ht="15.75" thickBot="1">
      <c r="C388" s="420" t="s">
        <v>203</v>
      </c>
      <c r="D388" s="750">
        <f>SUM(D381:D387)</f>
        <v>749663.60692556598</v>
      </c>
      <c r="E388" s="750">
        <f t="shared" ref="E388:K388" si="167">SUM(E381:E387)</f>
        <v>3856701.1995198671</v>
      </c>
      <c r="F388" s="750">
        <f t="shared" si="167"/>
        <v>6908521.6315281466</v>
      </c>
      <c r="G388" s="750">
        <f t="shared" si="167"/>
        <v>7312564.7434053337</v>
      </c>
      <c r="H388" s="750">
        <f t="shared" si="167"/>
        <v>7710962.7209726842</v>
      </c>
      <c r="I388" s="750">
        <f t="shared" si="167"/>
        <v>8103037.660874702</v>
      </c>
      <c r="J388" s="750">
        <f t="shared" si="167"/>
        <v>8488135.5491673686</v>
      </c>
      <c r="K388" s="755">
        <f t="shared" si="167"/>
        <v>8865626.528707223</v>
      </c>
      <c r="L388" s="756">
        <f t="shared" si="161"/>
        <v>51995213.641100883</v>
      </c>
    </row>
    <row r="389" spans="1:16">
      <c r="C389" s="22"/>
    </row>
    <row r="390" spans="1:16">
      <c r="A390" s="125" t="s">
        <v>681</v>
      </c>
      <c r="B390" s="125"/>
    </row>
    <row r="391" spans="1:16">
      <c r="C391" s="178" t="s">
        <v>529</v>
      </c>
      <c r="D391" s="179">
        <v>2026</v>
      </c>
      <c r="E391" s="179">
        <v>2027</v>
      </c>
      <c r="F391" s="179">
        <v>2028</v>
      </c>
      <c r="G391" s="179">
        <v>2029</v>
      </c>
      <c r="H391" s="179">
        <v>2030</v>
      </c>
      <c r="I391" s="179">
        <v>2031</v>
      </c>
      <c r="J391" s="179">
        <v>2032</v>
      </c>
      <c r="K391" s="180">
        <v>2033</v>
      </c>
    </row>
    <row r="392" spans="1:16">
      <c r="C392" s="174" t="s">
        <v>1048</v>
      </c>
      <c r="D392" s="564">
        <f t="shared" ref="D392:K396" si="168">D86+D405</f>
        <v>26063854.877815854</v>
      </c>
      <c r="E392" s="564">
        <f t="shared" si="168"/>
        <v>52056560.184813164</v>
      </c>
      <c r="F392" s="564">
        <f t="shared" si="168"/>
        <v>52055543.821504094</v>
      </c>
      <c r="G392" s="564">
        <f t="shared" si="168"/>
        <v>51993659.277378507</v>
      </c>
      <c r="H392" s="564">
        <f t="shared" si="168"/>
        <v>51977822.862386428</v>
      </c>
      <c r="I392" s="564">
        <f t="shared" si="168"/>
        <v>52009714.421813451</v>
      </c>
      <c r="J392" s="564">
        <f t="shared" si="168"/>
        <v>52091120.469334468</v>
      </c>
      <c r="K392" s="564">
        <f t="shared" si="168"/>
        <v>52223939.770225093</v>
      </c>
    </row>
    <row r="393" spans="1:16">
      <c r="C393" s="175" t="s">
        <v>1049</v>
      </c>
      <c r="D393" s="564">
        <f t="shared" si="168"/>
        <v>35739517.748931453</v>
      </c>
      <c r="E393" s="564">
        <f t="shared" si="168"/>
        <v>70254581.304462194</v>
      </c>
      <c r="F393" s="564">
        <f t="shared" si="168"/>
        <v>69096950.588285923</v>
      </c>
      <c r="G393" s="564">
        <f t="shared" si="168"/>
        <v>67830403.151578531</v>
      </c>
      <c r="H393" s="564">
        <f t="shared" si="168"/>
        <v>66596210.355809256</v>
      </c>
      <c r="I393" s="564">
        <f t="shared" si="168"/>
        <v>65393506.030374788</v>
      </c>
      <c r="J393" s="564">
        <f t="shared" si="168"/>
        <v>64221447.813538134</v>
      </c>
      <c r="K393" s="564">
        <f t="shared" si="168"/>
        <v>63079216.486113466</v>
      </c>
    </row>
    <row r="394" spans="1:16">
      <c r="C394" s="175" t="s">
        <v>1050</v>
      </c>
      <c r="D394" s="564">
        <f t="shared" si="168"/>
        <v>89322835.354102463</v>
      </c>
      <c r="E394" s="564">
        <f t="shared" si="168"/>
        <v>179906648.60815358</v>
      </c>
      <c r="F394" s="564">
        <f t="shared" si="168"/>
        <v>181275572.19691563</v>
      </c>
      <c r="G394" s="564">
        <f t="shared" si="168"/>
        <v>182289130.8972742</v>
      </c>
      <c r="H394" s="564">
        <f t="shared" si="168"/>
        <v>183311219.93720257</v>
      </c>
      <c r="I394" s="564">
        <f t="shared" si="168"/>
        <v>184341682.32744324</v>
      </c>
      <c r="J394" s="564">
        <f t="shared" si="168"/>
        <v>185380354.79687077</v>
      </c>
      <c r="K394" s="564">
        <f t="shared" si="168"/>
        <v>186427067.81418154</v>
      </c>
    </row>
    <row r="395" spans="1:16">
      <c r="C395" s="589" t="s">
        <v>1051</v>
      </c>
      <c r="D395" s="564">
        <f t="shared" si="168"/>
        <v>113894804.01793838</v>
      </c>
      <c r="E395" s="564">
        <f t="shared" si="168"/>
        <v>226768498.7123909</v>
      </c>
      <c r="F395" s="564">
        <f t="shared" si="168"/>
        <v>225854341.76528618</v>
      </c>
      <c r="G395" s="564">
        <f t="shared" si="168"/>
        <v>224472651.72467771</v>
      </c>
      <c r="H395" s="564">
        <f t="shared" si="168"/>
        <v>223082441.4183898</v>
      </c>
      <c r="I395" s="564">
        <f t="shared" si="168"/>
        <v>221683857.74410218</v>
      </c>
      <c r="J395" s="564">
        <f t="shared" si="168"/>
        <v>220277053.78930128</v>
      </c>
      <c r="K395" s="564">
        <f t="shared" si="168"/>
        <v>218862188.81354544</v>
      </c>
    </row>
    <row r="396" spans="1:16">
      <c r="C396" s="177" t="s">
        <v>1030</v>
      </c>
      <c r="D396" s="564">
        <f t="shared" si="168"/>
        <v>37186170.883369334</v>
      </c>
      <c r="E396" s="564">
        <f t="shared" si="168"/>
        <v>76124343.0610082</v>
      </c>
      <c r="F396" s="564">
        <f t="shared" si="168"/>
        <v>77958738.900873885</v>
      </c>
      <c r="G396" s="564">
        <f t="shared" si="168"/>
        <v>79676050.87559773</v>
      </c>
      <c r="H396" s="564">
        <f t="shared" si="168"/>
        <v>81431127.930834875</v>
      </c>
      <c r="I396" s="564">
        <f t="shared" si="168"/>
        <v>83224796.937740177</v>
      </c>
      <c r="J396" s="564">
        <f t="shared" si="168"/>
        <v>85057902.716419026</v>
      </c>
      <c r="K396" s="564">
        <f t="shared" si="168"/>
        <v>86931308.420535862</v>
      </c>
    </row>
    <row r="397" spans="1:16">
      <c r="C397" s="177" t="s">
        <v>1060</v>
      </c>
      <c r="D397" s="422">
        <f t="shared" ref="D397:K397" si="169">SUM(D392:D396)</f>
        <v>302207182.8821575</v>
      </c>
      <c r="E397" s="422">
        <f t="shared" si="169"/>
        <v>605110631.87082803</v>
      </c>
      <c r="F397" s="422">
        <f t="shared" si="169"/>
        <v>606241147.27286577</v>
      </c>
      <c r="G397" s="422">
        <f t="shared" si="169"/>
        <v>606261895.92650664</v>
      </c>
      <c r="H397" s="422">
        <f t="shared" si="169"/>
        <v>606398822.50462294</v>
      </c>
      <c r="I397" s="422">
        <f t="shared" si="169"/>
        <v>606653557.46147382</v>
      </c>
      <c r="J397" s="422">
        <f t="shared" si="169"/>
        <v>607027879.58546364</v>
      </c>
      <c r="K397" s="422">
        <f t="shared" si="169"/>
        <v>607523721.30460143</v>
      </c>
    </row>
    <row r="398" spans="1:16">
      <c r="C398" s="177" t="s">
        <v>878</v>
      </c>
      <c r="D398" s="705">
        <f t="shared" ref="D398:K398" si="170">D393*$F$29/3600</f>
        <v>29782.931457442875</v>
      </c>
      <c r="E398" s="705">
        <f t="shared" si="170"/>
        <v>58545.484420385161</v>
      </c>
      <c r="F398" s="705">
        <f t="shared" si="170"/>
        <v>57580.792156904936</v>
      </c>
      <c r="G398" s="705">
        <f t="shared" si="170"/>
        <v>56525.335959648772</v>
      </c>
      <c r="H398" s="705">
        <f t="shared" si="170"/>
        <v>55496.841963174375</v>
      </c>
      <c r="I398" s="705">
        <f t="shared" si="170"/>
        <v>54494.588358645655</v>
      </c>
      <c r="J398" s="705">
        <f t="shared" si="170"/>
        <v>53517.873177948444</v>
      </c>
      <c r="K398" s="705">
        <f t="shared" si="170"/>
        <v>52566.013738427893</v>
      </c>
    </row>
    <row r="399" spans="1:16">
      <c r="C399" s="177" t="s">
        <v>879</v>
      </c>
      <c r="D399" s="564">
        <f t="shared" ref="D399:K399" si="171">(D393+D395+D396)*$F$44*$F$45*D$65</f>
        <v>887770.98107393656</v>
      </c>
      <c r="E399" s="564">
        <f t="shared" si="171"/>
        <v>3546393.1089319945</v>
      </c>
      <c r="F399" s="564">
        <f t="shared" si="171"/>
        <v>5316205.4055633834</v>
      </c>
      <c r="G399" s="564">
        <f t="shared" si="171"/>
        <v>7070578.8421312403</v>
      </c>
      <c r="H399" s="564">
        <f t="shared" si="171"/>
        <v>8817568.3657916076</v>
      </c>
      <c r="I399" s="564">
        <f t="shared" si="171"/>
        <v>10558055.206226734</v>
      </c>
      <c r="J399" s="564">
        <f t="shared" si="171"/>
        <v>12292924.233275816</v>
      </c>
      <c r="K399" s="564">
        <f t="shared" si="171"/>
        <v>14023065.084786925</v>
      </c>
    </row>
    <row r="400" spans="1:16">
      <c r="C400" s="704" t="s">
        <v>1333</v>
      </c>
      <c r="D400" s="766">
        <f>'DM_xx_Distribúcia presunu'!$K$22*'B_02 Benefity varianty'!D$67*(1+D68)/2</f>
        <v>2427.4950442706245</v>
      </c>
      <c r="E400" s="766">
        <f>'DM_xx_Distribúcia presunu'!$K$22*'B_02 Benefity varianty'!E$67*(1+E68)</f>
        <v>19554.955113329997</v>
      </c>
      <c r="F400" s="766">
        <f>'DM_xx_Distribúcia presunu'!$K$22*'B_02 Benefity varianty'!F$67*(1+F68)</f>
        <v>39379.899744989991</v>
      </c>
      <c r="G400" s="766">
        <f>'DM_xx_Distribúcia presunu'!$K$22*'B_02 Benefity varianty'!G$67*(1+G68)</f>
        <v>39649.889263319994</v>
      </c>
      <c r="H400" s="766">
        <f>'DM_xx_Distribúcia presunu'!$K$22*'B_02 Benefity varianty'!H$67*(1+H68)</f>
        <v>39919.87878164999</v>
      </c>
      <c r="I400" s="766">
        <f>'DM_xx_Distribúcia presunu'!$K$22*'B_02 Benefity varianty'!I$67*(1+I68)</f>
        <v>40189.86829998</v>
      </c>
      <c r="J400" s="766">
        <f>'DM_xx_Distribúcia presunu'!$K$22*'B_02 Benefity varianty'!J$67*(1+J68)</f>
        <v>40459.857818309996</v>
      </c>
      <c r="K400" s="766">
        <f>'DM_xx_Distribúcia presunu'!$K$22*'B_02 Benefity varianty'!K$67*(1+K68)</f>
        <v>40729.847336639999</v>
      </c>
    </row>
    <row r="401" spans="3:11">
      <c r="C401" s="702" t="s">
        <v>1334</v>
      </c>
      <c r="D401" s="767">
        <f>'DM_xx_Distribúcia presunu'!$L$22*'B_02 Benefity varianty'!D$67*(1+D68)/2</f>
        <v>506.34721760437492</v>
      </c>
      <c r="E401" s="767">
        <f>'DM_xx_Distribúcia presunu'!$L$22*'B_02 Benefity varianty'!E$67*(1+E68)</f>
        <v>4078.9360766700001</v>
      </c>
      <c r="F401" s="767">
        <f>'DM_xx_Distribúcia presunu'!$L$22*'B_02 Benefity varianty'!F$67*(1+F68)</f>
        <v>8214.1888250100001</v>
      </c>
      <c r="G401" s="767">
        <f>'DM_xx_Distribúcia presunu'!$L$22*'B_02 Benefity varianty'!G$67*(1+G68)</f>
        <v>8270.5054966800017</v>
      </c>
      <c r="H401" s="767">
        <f>'DM_xx_Distribúcia presunu'!$L$22*'B_02 Benefity varianty'!H$67*(1+H68)</f>
        <v>8326.8221683499996</v>
      </c>
      <c r="I401" s="767">
        <f>'DM_xx_Distribúcia presunu'!$L$22*'B_02 Benefity varianty'!I$67*(1+I68)</f>
        <v>8383.1388400200012</v>
      </c>
      <c r="J401" s="767">
        <f>'DM_xx_Distribúcia presunu'!$L$22*'B_02 Benefity varianty'!J$67*(1+J68)</f>
        <v>8439.455511690001</v>
      </c>
      <c r="K401" s="767">
        <f>'DM_xx_Distribúcia presunu'!$L$22*'B_02 Benefity varianty'!K$67*(1+K68)</f>
        <v>8495.7721833600008</v>
      </c>
    </row>
    <row r="402" spans="3:11">
      <c r="C402" s="702" t="s">
        <v>1335</v>
      </c>
      <c r="D402" s="767">
        <f>'DM_xx_Distribúcia presunu'!$K$9*'B_02 Benefity varianty'!D$67*(1+D68)/2</f>
        <v>276.13321069031247</v>
      </c>
      <c r="E402" s="767">
        <f>'DM_xx_Distribúcia presunu'!$K$9*'B_02 Benefity varianty'!E$67*(1+E68)</f>
        <v>2224.421653545</v>
      </c>
      <c r="F402" s="767">
        <f>'DM_xx_Distribúcia presunu'!$K$9*'B_02 Benefity varianty'!F$67*(1+F68)</f>
        <v>4479.5552431350006</v>
      </c>
      <c r="G402" s="767">
        <f>'DM_xx_Distribúcia presunu'!$K$9*'B_02 Benefity varianty'!G$67*(1+G68)</f>
        <v>4510.2671791800012</v>
      </c>
      <c r="H402" s="767">
        <f>'DM_xx_Distribúcia presunu'!$K$9*'B_02 Benefity varianty'!H$67*(1+H68)</f>
        <v>4540.979115225</v>
      </c>
      <c r="I402" s="767">
        <f>'DM_xx_Distribúcia presunu'!$K$9*'B_02 Benefity varianty'!I$67*(1+I68)</f>
        <v>4571.6910512700006</v>
      </c>
      <c r="J402" s="767">
        <f>'DM_xx_Distribúcia presunu'!$K$9*'B_02 Benefity varianty'!J$67*(1+J68)</f>
        <v>4602.4029873150002</v>
      </c>
      <c r="K402" s="767">
        <f>'DM_xx_Distribúcia presunu'!$K$9*'B_02 Benefity varianty'!K$67*(1+K68)</f>
        <v>4633.1149233600008</v>
      </c>
    </row>
    <row r="403" spans="3:11">
      <c r="C403" s="706" t="s">
        <v>1336</v>
      </c>
      <c r="D403" s="767">
        <f>'DM_xx_Distribúcia presunu'!$L$9*'B_02 Benefity varianty'!D$67*(1+D68)/2</f>
        <v>54.291968528437494</v>
      </c>
      <c r="E403" s="767">
        <f>'DM_xx_Distribúcia presunu'!$L$9*'B_02 Benefity varianty'!E$67*(1+E68)</f>
        <v>437.35496395500002</v>
      </c>
      <c r="F403" s="767">
        <f>'DM_xx_Distribúcia presunu'!$L$9*'B_02 Benefity varianty'!F$67*(1+F68)</f>
        <v>880.74835936500006</v>
      </c>
      <c r="G403" s="767">
        <f>'DM_xx_Distribúcia presunu'!$L$9*'B_02 Benefity varianty'!G$67*(1+G68)</f>
        <v>886.78679082000008</v>
      </c>
      <c r="H403" s="767">
        <f>'DM_xx_Distribúcia presunu'!$L$9*'B_02 Benefity varianty'!H$67*(1+H68)</f>
        <v>892.82522227499999</v>
      </c>
      <c r="I403" s="767">
        <f>'DM_xx_Distribúcia presunu'!$L$9*'B_02 Benefity varianty'!I$67*(1+I68)</f>
        <v>898.86365373000012</v>
      </c>
      <c r="J403" s="767">
        <f>'DM_xx_Distribúcia presunu'!$L$9*'B_02 Benefity varianty'!J$67*(1+J68)</f>
        <v>904.90208518500003</v>
      </c>
      <c r="K403" s="767">
        <f>'DM_xx_Distribúcia presunu'!$L$9*'B_02 Benefity varianty'!K$67*(1+K68)</f>
        <v>910.94051664000017</v>
      </c>
    </row>
    <row r="404" spans="3:11">
      <c r="C404" s="704" t="s">
        <v>1342</v>
      </c>
      <c r="D404" s="767">
        <f t="shared" ref="D404:K404" si="172">(D400*$F$31+D401*$F$32+D402*$F$31+D403*$F$32)*$F$41</f>
        <v>152000.58833203124</v>
      </c>
      <c r="E404" s="767">
        <f t="shared" si="172"/>
        <v>1224457.5695625001</v>
      </c>
      <c r="F404" s="767">
        <f t="shared" si="172"/>
        <v>2465820.8649374996</v>
      </c>
      <c r="G404" s="767">
        <f t="shared" si="172"/>
        <v>2482726.59075</v>
      </c>
      <c r="H404" s="767">
        <f t="shared" si="172"/>
        <v>2499632.3165624994</v>
      </c>
      <c r="I404" s="767">
        <f t="shared" si="172"/>
        <v>2516538.0423750002</v>
      </c>
      <c r="J404" s="767">
        <f t="shared" si="172"/>
        <v>2533443.7681875001</v>
      </c>
      <c r="K404" s="767">
        <f t="shared" si="172"/>
        <v>2550349.4939999999</v>
      </c>
    </row>
    <row r="405" spans="3:11">
      <c r="C405" s="702" t="s">
        <v>1337</v>
      </c>
      <c r="D405" s="767">
        <f t="shared" ref="D405:K405" si="173">D404*D92</f>
        <v>13109.288925053525</v>
      </c>
      <c r="E405" s="767">
        <f t="shared" si="173"/>
        <v>105337.84370407004</v>
      </c>
      <c r="F405" s="767">
        <f t="shared" si="173"/>
        <v>211730.34306257538</v>
      </c>
      <c r="G405" s="767">
        <f t="shared" si="173"/>
        <v>212921.24955514495</v>
      </c>
      <c r="H405" s="767">
        <f t="shared" si="173"/>
        <v>214257.41764264679</v>
      </c>
      <c r="I405" s="767">
        <f t="shared" si="173"/>
        <v>215748.21956576951</v>
      </c>
      <c r="J405" s="767">
        <f t="shared" si="173"/>
        <v>217403.39936455857</v>
      </c>
      <c r="K405" s="767">
        <f t="shared" si="173"/>
        <v>219233.08291842212</v>
      </c>
    </row>
    <row r="406" spans="3:11">
      <c r="C406" s="702" t="s">
        <v>1338</v>
      </c>
      <c r="D406" s="767">
        <f t="shared" ref="D406:K406" si="174">D404*D93</f>
        <v>17975.83919988749</v>
      </c>
      <c r="E406" s="767">
        <f t="shared" si="174"/>
        <v>142162.02681604211</v>
      </c>
      <c r="F406" s="767">
        <f t="shared" si="174"/>
        <v>281044.43789504684</v>
      </c>
      <c r="G406" s="767">
        <f t="shared" si="174"/>
        <v>277774.91327960882</v>
      </c>
      <c r="H406" s="767">
        <f t="shared" si="174"/>
        <v>274515.76980050281</v>
      </c>
      <c r="I406" s="767">
        <f t="shared" si="174"/>
        <v>271267.25562829658</v>
      </c>
      <c r="J406" s="767">
        <f t="shared" si="174"/>
        <v>268029.57857272541</v>
      </c>
      <c r="K406" s="767">
        <f t="shared" si="174"/>
        <v>264802.9076162058</v>
      </c>
    </row>
    <row r="407" spans="3:11">
      <c r="C407" s="702" t="s">
        <v>1339</v>
      </c>
      <c r="D407" s="767">
        <f t="shared" ref="D407:K407" si="175">D404*D94</f>
        <v>44926.541440290624</v>
      </c>
      <c r="E407" s="767">
        <f t="shared" si="175"/>
        <v>364045.92168841459</v>
      </c>
      <c r="F407" s="767">
        <f t="shared" si="175"/>
        <v>737318.95341879455</v>
      </c>
      <c r="G407" s="767">
        <f t="shared" si="175"/>
        <v>746499.28607459902</v>
      </c>
      <c r="H407" s="767">
        <f t="shared" si="175"/>
        <v>755625.88899986574</v>
      </c>
      <c r="I407" s="767">
        <f t="shared" si="175"/>
        <v>764691.56187529466</v>
      </c>
      <c r="J407" s="767">
        <f t="shared" si="175"/>
        <v>773688.85416801961</v>
      </c>
      <c r="K407" s="767">
        <f t="shared" si="175"/>
        <v>782610.06343391398</v>
      </c>
    </row>
    <row r="408" spans="3:11">
      <c r="C408" s="702" t="s">
        <v>1340</v>
      </c>
      <c r="D408" s="767">
        <f t="shared" ref="D408:K408" si="176">D404*D95</f>
        <v>57285.459113123376</v>
      </c>
      <c r="E408" s="767">
        <f t="shared" si="176"/>
        <v>458872.13042058155</v>
      </c>
      <c r="F408" s="767">
        <f t="shared" si="176"/>
        <v>918638.31887165306</v>
      </c>
      <c r="G408" s="767">
        <f t="shared" si="176"/>
        <v>919246.65738943242</v>
      </c>
      <c r="H408" s="767">
        <f t="shared" si="176"/>
        <v>919566.56103634951</v>
      </c>
      <c r="I408" s="767">
        <f t="shared" si="176"/>
        <v>919595.46685574227</v>
      </c>
      <c r="J408" s="767">
        <f t="shared" si="176"/>
        <v>919330.96973783849</v>
      </c>
      <c r="K408" s="767">
        <f t="shared" si="176"/>
        <v>918770.82807191194</v>
      </c>
    </row>
    <row r="409" spans="3:11">
      <c r="C409" s="706" t="s">
        <v>1341</v>
      </c>
      <c r="D409" s="767">
        <f t="shared" ref="D409:K409" si="177">D404*D96</f>
        <v>18703.45965367624</v>
      </c>
      <c r="E409" s="767">
        <f t="shared" si="177"/>
        <v>154039.64693339198</v>
      </c>
      <c r="F409" s="767">
        <f t="shared" si="177"/>
        <v>317088.81168942968</v>
      </c>
      <c r="G409" s="767">
        <f t="shared" si="177"/>
        <v>326284.48445121484</v>
      </c>
      <c r="H409" s="767">
        <f t="shared" si="177"/>
        <v>335666.67908313469</v>
      </c>
      <c r="I409" s="767">
        <f t="shared" si="177"/>
        <v>345235.5384498972</v>
      </c>
      <c r="J409" s="767">
        <f t="shared" si="177"/>
        <v>354990.96634435817</v>
      </c>
      <c r="K409" s="767">
        <f t="shared" si="177"/>
        <v>364932.61195954616</v>
      </c>
    </row>
    <row r="410" spans="3:11">
      <c r="C410" s="177" t="s">
        <v>917</v>
      </c>
      <c r="D410" s="767">
        <f>D$400*'DM_xx_Prejazdené km'!$C$10*$F$31*$F$41</f>
        <v>3641242.5664059366</v>
      </c>
      <c r="E410" s="767">
        <f>E$400*'DM_xx_Prejazdené km'!$C$10*$F$31*$F$41</f>
        <v>29332432.669994999</v>
      </c>
      <c r="F410" s="767">
        <f>F$400*'DM_xx_Prejazdené km'!$C$10*$F$31*$F$41</f>
        <v>59069849.617484979</v>
      </c>
      <c r="G410" s="767">
        <f>G$400*'DM_xx_Prejazdené km'!$C$10*$F$31*$F$41</f>
        <v>59474833.894979991</v>
      </c>
      <c r="H410" s="767">
        <f>H$400*'DM_xx_Prejazdené km'!$C$10*$F$31*$F$41</f>
        <v>59879818.17247498</v>
      </c>
      <c r="I410" s="767">
        <f>I$400*'DM_xx_Prejazdené km'!$C$10*$F$31*$F$41</f>
        <v>60284802.449970007</v>
      </c>
      <c r="J410" s="767">
        <f>J$400*'DM_xx_Prejazdené km'!$C$10*$F$31*$F$41</f>
        <v>60689786.727464989</v>
      </c>
      <c r="K410" s="767">
        <f>K$400*'DM_xx_Prejazdené km'!$C$10*$F$31*$F$41</f>
        <v>61094771.004960001</v>
      </c>
    </row>
    <row r="411" spans="3:11">
      <c r="C411" s="177" t="s">
        <v>927</v>
      </c>
      <c r="D411" s="767">
        <f>D$401*'DM_xx_Prejazdené km'!$C$10*$F$32*$F$41</f>
        <v>455712.49584393745</v>
      </c>
      <c r="E411" s="767">
        <f>E$401*'DM_xx_Prejazdené km'!$C$10*$F$32*$F$41</f>
        <v>3671042.4690030003</v>
      </c>
      <c r="F411" s="767">
        <f>F$401*'DM_xx_Prejazdené km'!$C$10*$F$32*$F$41</f>
        <v>7392769.9425090002</v>
      </c>
      <c r="G411" s="767">
        <f>G$401*'DM_xx_Prejazdené km'!$C$10*$F$32*$F$41</f>
        <v>7443454.9470120016</v>
      </c>
      <c r="H411" s="767">
        <f>H$401*'DM_xx_Prejazdené km'!$C$10*$F$32*$F$41</f>
        <v>7494139.9515150003</v>
      </c>
      <c r="I411" s="767">
        <f>I$401*'DM_xx_Prejazdené km'!$C$10*$F$32*$F$41</f>
        <v>7544824.9560180008</v>
      </c>
      <c r="J411" s="767">
        <f>J$401*'DM_xx_Prejazdené km'!$C$10*$F$32*$F$41</f>
        <v>7595509.9605210014</v>
      </c>
      <c r="K411" s="767">
        <f>K$401*'DM_xx_Prejazdené km'!$C$10*$F$32*$F$41</f>
        <v>7646194.965024001</v>
      </c>
    </row>
    <row r="412" spans="3:11">
      <c r="C412" s="177" t="s">
        <v>918</v>
      </c>
      <c r="D412" s="767">
        <f>D$402*'DM_xx_Prejazdené km'!$D$10*'B_02 Benefity varianty'!$F$31*$F$41</f>
        <v>2333325.6303331405</v>
      </c>
      <c r="E412" s="767">
        <f>E$402*'DM_xx_Prejazdené km'!$D$10*'B_02 Benefity varianty'!$F$31*$F$41</f>
        <v>18796362.972455252</v>
      </c>
      <c r="F412" s="767">
        <f>F$402*'DM_xx_Prejazdené km'!$D$10*'B_02 Benefity varianty'!$F$31*$F$41</f>
        <v>37852241.80449076</v>
      </c>
      <c r="G412" s="767">
        <f>G$402*'DM_xx_Prejazdené km'!$D$10*'B_02 Benefity varianty'!$F$31*$F$41</f>
        <v>38111757.664071016</v>
      </c>
      <c r="H412" s="767">
        <f>H$402*'DM_xx_Prejazdené km'!$D$10*'B_02 Benefity varianty'!$F$31*$F$41</f>
        <v>38371273.52365125</v>
      </c>
      <c r="I412" s="767">
        <f>I$402*'DM_xx_Prejazdené km'!$D$10*'B_02 Benefity varianty'!$F$31*$F$41</f>
        <v>38630789.383231506</v>
      </c>
      <c r="J412" s="767">
        <f>J$402*'DM_xx_Prejazdené km'!$D$10*'B_02 Benefity varianty'!$F$31*$F$41</f>
        <v>38890305.242811762</v>
      </c>
      <c r="K412" s="767">
        <f>K$402*'DM_xx_Prejazdené km'!$D$10*'B_02 Benefity varianty'!$F$31*$F$41</f>
        <v>39149821.10239201</v>
      </c>
    </row>
    <row r="413" spans="3:11">
      <c r="C413" s="177" t="s">
        <v>919</v>
      </c>
      <c r="D413" s="767">
        <f>D$403*'DM_xx_Prejazdené km'!$D$10*'B_02 Benefity varianty'!$F$32*$F$41</f>
        <v>275260.28043917811</v>
      </c>
      <c r="E413" s="767">
        <f>E$403*'DM_xx_Prejazdené km'!$D$10*'B_02 Benefity varianty'!$F$32*$F$41</f>
        <v>2217389.66725185</v>
      </c>
      <c r="F413" s="767">
        <f>F$403*'DM_xx_Prejazdené km'!$D$10*'B_02 Benefity varianty'!$F$32*$F$41</f>
        <v>4465394.1819805503</v>
      </c>
      <c r="G413" s="767">
        <f>G$403*'DM_xx_Prejazdené km'!$D$10*'B_02 Benefity varianty'!$F$32*$F$41</f>
        <v>4496009.0294574006</v>
      </c>
      <c r="H413" s="767">
        <f>H$403*'DM_xx_Prejazdené km'!$D$10*'B_02 Benefity varianty'!$F$32*$F$41</f>
        <v>4526623.8769342499</v>
      </c>
      <c r="I413" s="767">
        <f>I$403*'DM_xx_Prejazdené km'!$D$10*'B_02 Benefity varianty'!$F$32*$F$41</f>
        <v>4557238.7244111001</v>
      </c>
      <c r="J413" s="767">
        <f>J$403*'DM_xx_Prejazdené km'!$D$10*'B_02 Benefity varianty'!$F$32*$F$41</f>
        <v>4587853.5718879504</v>
      </c>
      <c r="K413" s="767">
        <f>K$403*'DM_xx_Prejazdené km'!$D$10*'B_02 Benefity varianty'!$F$32*$F$41</f>
        <v>4618468.4193648007</v>
      </c>
    </row>
    <row r="414" spans="3:11">
      <c r="C414" s="177" t="s">
        <v>1055</v>
      </c>
      <c r="D414" s="759">
        <f t="shared" ref="D414:K415" si="178">D392*D97</f>
        <v>20898668.222892202</v>
      </c>
      <c r="E414" s="759">
        <f t="shared" si="178"/>
        <v>41222471.299717017</v>
      </c>
      <c r="F414" s="759">
        <f t="shared" si="178"/>
        <v>40676969.285571389</v>
      </c>
      <c r="G414" s="759">
        <f t="shared" si="178"/>
        <v>40057597.504688703</v>
      </c>
      <c r="H414" s="759">
        <f t="shared" si="178"/>
        <v>39447625.314870991</v>
      </c>
      <c r="I414" s="759">
        <f t="shared" si="178"/>
        <v>38846909.526026234</v>
      </c>
      <c r="J414" s="759">
        <f t="shared" si="178"/>
        <v>38255309.140986674</v>
      </c>
      <c r="K414" s="759">
        <f t="shared" si="178"/>
        <v>37672685.322204947</v>
      </c>
    </row>
    <row r="415" spans="3:11">
      <c r="C415" s="177" t="s">
        <v>1056</v>
      </c>
      <c r="D415" s="759">
        <f t="shared" si="178"/>
        <v>22245415.977773298</v>
      </c>
      <c r="E415" s="759">
        <f t="shared" si="178"/>
        <v>43878921.4658923</v>
      </c>
      <c r="F415" s="759">
        <f t="shared" si="178"/>
        <v>43298266.321174033</v>
      </c>
      <c r="G415" s="759">
        <f t="shared" si="178"/>
        <v>42638981.109136589</v>
      </c>
      <c r="H415" s="759">
        <f t="shared" si="178"/>
        <v>41989701.214712277</v>
      </c>
      <c r="I415" s="759">
        <f t="shared" si="178"/>
        <v>41350274.220382079</v>
      </c>
      <c r="J415" s="759">
        <f t="shared" si="178"/>
        <v>40720550.042867266</v>
      </c>
      <c r="K415" s="759">
        <f t="shared" si="178"/>
        <v>40100380.897679277</v>
      </c>
    </row>
    <row r="416" spans="3:11">
      <c r="C416" s="177" t="s">
        <v>1107</v>
      </c>
      <c r="D416" s="759">
        <f t="shared" ref="D416:K416" si="179">(D394+D395)*D99</f>
        <v>45161332.43648988</v>
      </c>
      <c r="E416" s="759">
        <f t="shared" si="179"/>
        <v>89554158.153047055</v>
      </c>
      <c r="F416" s="759">
        <f t="shared" si="179"/>
        <v>88839051.852816597</v>
      </c>
      <c r="G416" s="759">
        <f t="shared" si="179"/>
        <v>87951615.643165872</v>
      </c>
      <c r="H416" s="759">
        <f t="shared" si="179"/>
        <v>87072975.101561382</v>
      </c>
      <c r="I416" s="759">
        <f t="shared" si="179"/>
        <v>86203041.483005837</v>
      </c>
      <c r="J416" s="759">
        <f t="shared" si="179"/>
        <v>85341726.948950037</v>
      </c>
      <c r="K416" s="759">
        <f t="shared" si="179"/>
        <v>84488944.558965698</v>
      </c>
    </row>
    <row r="417" spans="2:11">
      <c r="C417" s="177" t="s">
        <v>1058</v>
      </c>
      <c r="D417" s="759">
        <f t="shared" ref="D417:K417" si="180">D396*D101</f>
        <v>57232502.255335286</v>
      </c>
      <c r="E417" s="759">
        <f t="shared" si="180"/>
        <v>118378888.69814038</v>
      </c>
      <c r="F417" s="759">
        <f t="shared" si="180"/>
        <v>122491212.47390833</v>
      </c>
      <c r="G417" s="759">
        <f t="shared" si="180"/>
        <v>126490338.8871619</v>
      </c>
      <c r="H417" s="759">
        <f t="shared" si="180"/>
        <v>130619926.11688732</v>
      </c>
      <c r="I417" s="759">
        <f t="shared" si="180"/>
        <v>134884223.16538709</v>
      </c>
      <c r="J417" s="759">
        <f t="shared" si="180"/>
        <v>139287617.03431925</v>
      </c>
      <c r="K417" s="759">
        <f t="shared" si="180"/>
        <v>143834637.18846095</v>
      </c>
    </row>
    <row r="418" spans="2:11">
      <c r="C418" s="177" t="s">
        <v>1061</v>
      </c>
      <c r="D418" s="184">
        <f t="shared" ref="D418:K418" si="181">SUM(D414:D417)</f>
        <v>145537918.89249068</v>
      </c>
      <c r="E418" s="184">
        <f t="shared" si="181"/>
        <v>293034439.61679673</v>
      </c>
      <c r="F418" s="184">
        <f t="shared" si="181"/>
        <v>295305499.93347037</v>
      </c>
      <c r="G418" s="184">
        <f t="shared" si="181"/>
        <v>297138533.14415306</v>
      </c>
      <c r="H418" s="184">
        <f t="shared" si="181"/>
        <v>299130227.74803197</v>
      </c>
      <c r="I418" s="184">
        <f t="shared" si="181"/>
        <v>301284448.39480126</v>
      </c>
      <c r="J418" s="184">
        <f t="shared" si="181"/>
        <v>303605203.1671232</v>
      </c>
      <c r="K418" s="184">
        <f t="shared" si="181"/>
        <v>306096647.96731085</v>
      </c>
    </row>
    <row r="419" spans="2:11">
      <c r="C419" s="175" t="s">
        <v>896</v>
      </c>
      <c r="D419" s="566">
        <f t="shared" ref="D419:K419" si="182">D398*$F$30</f>
        <v>204013.08048348367</v>
      </c>
      <c r="E419" s="566">
        <f t="shared" si="182"/>
        <v>401036.5682796383</v>
      </c>
      <c r="F419" s="566">
        <f t="shared" si="182"/>
        <v>394428.42627479881</v>
      </c>
      <c r="G419" s="566">
        <f t="shared" si="182"/>
        <v>387198.55132359406</v>
      </c>
      <c r="H419" s="566">
        <f t="shared" si="182"/>
        <v>380153.36744774447</v>
      </c>
      <c r="I419" s="566">
        <f t="shared" si="182"/>
        <v>373287.93025672273</v>
      </c>
      <c r="J419" s="566">
        <f t="shared" si="182"/>
        <v>366597.43126894685</v>
      </c>
      <c r="K419" s="566">
        <f t="shared" si="182"/>
        <v>360077.19410823105</v>
      </c>
    </row>
    <row r="420" spans="2:11">
      <c r="C420" s="175" t="s">
        <v>897</v>
      </c>
      <c r="D420" s="566">
        <f t="shared" ref="D420:K420" si="183">D$399*($F$46-$F$47)*AVERAGE($H$36:$H$38)</f>
        <v>272457.50593891187</v>
      </c>
      <c r="E420" s="566">
        <f t="shared" si="183"/>
        <v>1088390.4093933019</v>
      </c>
      <c r="F420" s="566">
        <f t="shared" si="183"/>
        <v>1631546.9831043396</v>
      </c>
      <c r="G420" s="566">
        <f t="shared" si="183"/>
        <v>2169965.3603693061</v>
      </c>
      <c r="H420" s="566">
        <f t="shared" si="183"/>
        <v>2706117.6098403553</v>
      </c>
      <c r="I420" s="566">
        <f t="shared" si="183"/>
        <v>3240274.1814944558</v>
      </c>
      <c r="J420" s="566">
        <f t="shared" si="183"/>
        <v>3772706.6424751705</v>
      </c>
      <c r="K420" s="566">
        <f t="shared" si="183"/>
        <v>4303688.0232311646</v>
      </c>
    </row>
    <row r="421" spans="2:11">
      <c r="C421" s="175" t="s">
        <v>1075</v>
      </c>
      <c r="D421" s="566">
        <f t="shared" ref="D421:K421" si="184">-(SUM(D410:D413)*$F$5)</f>
        <v>-111150.32309675269</v>
      </c>
      <c r="E421" s="566">
        <f t="shared" si="184"/>
        <v>-895383.73481713783</v>
      </c>
      <c r="F421" s="566">
        <f t="shared" si="184"/>
        <v>-1803129.7697205083</v>
      </c>
      <c r="G421" s="566">
        <f t="shared" si="184"/>
        <v>-1815492.0698067416</v>
      </c>
      <c r="H421" s="566">
        <f t="shared" si="184"/>
        <v>-1827854.3698929737</v>
      </c>
      <c r="I421" s="566">
        <f t="shared" si="184"/>
        <v>-1840216.6699792068</v>
      </c>
      <c r="J421" s="566">
        <f t="shared" si="184"/>
        <v>-1852578.9700654394</v>
      </c>
      <c r="K421" s="566">
        <f t="shared" si="184"/>
        <v>-1864941.270151672</v>
      </c>
    </row>
    <row r="422" spans="2:11">
      <c r="C422" s="175" t="s">
        <v>1062</v>
      </c>
      <c r="D422" s="566">
        <f t="shared" ref="D422:K422" si="185">SUM(D410:D413)*$F$6</f>
        <v>399975.5909369819</v>
      </c>
      <c r="E422" s="566">
        <f t="shared" si="185"/>
        <v>3222047.6600603745</v>
      </c>
      <c r="F422" s="566">
        <f t="shared" si="185"/>
        <v>6488581.1852497878</v>
      </c>
      <c r="G422" s="566">
        <f t="shared" si="185"/>
        <v>6533067.0503788274</v>
      </c>
      <c r="H422" s="566">
        <f t="shared" si="185"/>
        <v>6577552.9155078642</v>
      </c>
      <c r="I422" s="566">
        <f t="shared" si="185"/>
        <v>6622038.7806369048</v>
      </c>
      <c r="J422" s="566">
        <f t="shared" si="185"/>
        <v>6666524.6457659435</v>
      </c>
      <c r="K422" s="566">
        <f t="shared" si="185"/>
        <v>6711010.5108949821</v>
      </c>
    </row>
    <row r="423" spans="2:11">
      <c r="B423" t="s">
        <v>837</v>
      </c>
      <c r="C423" s="768" t="s">
        <v>1109</v>
      </c>
      <c r="D423" s="182">
        <f t="shared" ref="D423:K423" si="186">D421+D422</f>
        <v>288825.26784022921</v>
      </c>
      <c r="E423" s="182">
        <f t="shared" si="186"/>
        <v>2326663.9252432366</v>
      </c>
      <c r="F423" s="182">
        <f t="shared" si="186"/>
        <v>4685451.415529279</v>
      </c>
      <c r="G423" s="182">
        <f t="shared" si="186"/>
        <v>4717574.9805720858</v>
      </c>
      <c r="H423" s="182">
        <f t="shared" si="186"/>
        <v>4749698.5456148908</v>
      </c>
      <c r="I423" s="182">
        <f t="shared" si="186"/>
        <v>4781822.1106576975</v>
      </c>
      <c r="J423" s="182">
        <f t="shared" si="186"/>
        <v>4813945.6757005043</v>
      </c>
      <c r="K423" s="182">
        <f t="shared" si="186"/>
        <v>4846069.2407433102</v>
      </c>
    </row>
    <row r="424" spans="2:11">
      <c r="C424" s="175" t="s">
        <v>1074</v>
      </c>
      <c r="D424" s="182">
        <f t="shared" ref="D424:K424" si="187">-SUM(D410:D413)*$F$7</f>
        <v>-70700.799325867047</v>
      </c>
      <c r="E424" s="182">
        <f t="shared" si="187"/>
        <v>-569538.1173102617</v>
      </c>
      <c r="F424" s="182">
        <f t="shared" si="187"/>
        <v>-1146939.6800271738</v>
      </c>
      <c r="G424" s="182">
        <f t="shared" si="187"/>
        <v>-1154803.1254338247</v>
      </c>
      <c r="H424" s="182">
        <f t="shared" si="187"/>
        <v>-1162666.5708404749</v>
      </c>
      <c r="I424" s="182">
        <f t="shared" si="187"/>
        <v>-1170530.0162471258</v>
      </c>
      <c r="J424" s="182">
        <f t="shared" si="187"/>
        <v>-1178393.4616537762</v>
      </c>
      <c r="K424" s="182">
        <f t="shared" si="187"/>
        <v>-1186256.9070604267</v>
      </c>
    </row>
    <row r="425" spans="2:11">
      <c r="C425" s="175" t="s">
        <v>1076</v>
      </c>
      <c r="D425" s="182">
        <f t="shared" ref="D425:K425" si="188">(SUM(D410:D413)*$F$8*D$61)+(SUM(D410:D413)*$F$9*(1-D$66))</f>
        <v>56600.192800103956</v>
      </c>
      <c r="E425" s="182">
        <f t="shared" si="188"/>
        <v>452552.77900351572</v>
      </c>
      <c r="F425" s="182">
        <f t="shared" si="188"/>
        <v>903304.03150326759</v>
      </c>
      <c r="G425" s="182">
        <f t="shared" si="188"/>
        <v>900223.63469052245</v>
      </c>
      <c r="H425" s="182">
        <f t="shared" si="188"/>
        <v>895889.54115470289</v>
      </c>
      <c r="I425" s="182">
        <f t="shared" si="188"/>
        <v>890052.29504448466</v>
      </c>
      <c r="J425" s="182">
        <f t="shared" si="188"/>
        <v>882468.90799440606</v>
      </c>
      <c r="K425" s="182">
        <f t="shared" si="188"/>
        <v>872902.86955002614</v>
      </c>
    </row>
    <row r="426" spans="2:11">
      <c r="B426" t="s">
        <v>838</v>
      </c>
      <c r="C426" s="768" t="s">
        <v>1110</v>
      </c>
      <c r="D426" s="182">
        <f t="shared" ref="D426:K426" si="189">D425+D424</f>
        <v>-14100.606525763091</v>
      </c>
      <c r="E426" s="182">
        <f t="shared" si="189"/>
        <v>-116985.33830674598</v>
      </c>
      <c r="F426" s="182">
        <f t="shared" si="189"/>
        <v>-243635.64852390625</v>
      </c>
      <c r="G426" s="182">
        <f t="shared" si="189"/>
        <v>-254579.49074330227</v>
      </c>
      <c r="H426" s="182">
        <f t="shared" si="189"/>
        <v>-266777.02968577202</v>
      </c>
      <c r="I426" s="182">
        <f t="shared" si="189"/>
        <v>-280477.72120264114</v>
      </c>
      <c r="J426" s="182">
        <f t="shared" si="189"/>
        <v>-295924.55365937017</v>
      </c>
      <c r="K426" s="182">
        <f t="shared" si="189"/>
        <v>-313354.03751040052</v>
      </c>
    </row>
    <row r="427" spans="2:11">
      <c r="C427" s="175" t="s">
        <v>1077</v>
      </c>
      <c r="D427" s="182">
        <f t="shared" ref="D427:K427" si="190">-SUM(D410:D413)*$F$10</f>
        <v>-22309.064801402241</v>
      </c>
      <c r="E427" s="182">
        <f t="shared" si="190"/>
        <v>-179713.14167723432</v>
      </c>
      <c r="F427" s="182">
        <f t="shared" si="190"/>
        <v>-361907.52988650143</v>
      </c>
      <c r="G427" s="182">
        <f t="shared" si="190"/>
        <v>-364388.77641853434</v>
      </c>
      <c r="H427" s="182">
        <f t="shared" si="190"/>
        <v>-366870.02295056707</v>
      </c>
      <c r="I427" s="182">
        <f t="shared" si="190"/>
        <v>-369351.26948259998</v>
      </c>
      <c r="J427" s="182">
        <f t="shared" si="190"/>
        <v>-371832.51601463277</v>
      </c>
      <c r="K427" s="182">
        <f t="shared" si="190"/>
        <v>-374313.76254666562</v>
      </c>
    </row>
    <row r="428" spans="2:11">
      <c r="C428" s="175" t="s">
        <v>1078</v>
      </c>
      <c r="D428" s="182">
        <f t="shared" ref="D428:K428" si="191">(SUM(D410:D413)*$F$11*D$61)+(SUM(D410:D413)*$F$13*(1-D$66))</f>
        <v>36191.81850304539</v>
      </c>
      <c r="E428" s="182">
        <f t="shared" si="191"/>
        <v>291478.41347982147</v>
      </c>
      <c r="F428" s="182">
        <f t="shared" si="191"/>
        <v>586818.14730769373</v>
      </c>
      <c r="G428" s="182">
        <f t="shared" si="191"/>
        <v>590653.56605127628</v>
      </c>
      <c r="H428" s="182">
        <f t="shared" si="191"/>
        <v>594463.59304370417</v>
      </c>
      <c r="I428" s="182">
        <f t="shared" si="191"/>
        <v>598243.1759299828</v>
      </c>
      <c r="J428" s="182">
        <f t="shared" si="191"/>
        <v>601987.39334436588</v>
      </c>
      <c r="K428" s="182">
        <f t="shared" si="191"/>
        <v>605691.45512150158</v>
      </c>
    </row>
    <row r="429" spans="2:11">
      <c r="B429" t="s">
        <v>839</v>
      </c>
      <c r="C429" s="768" t="s">
        <v>1111</v>
      </c>
      <c r="D429" s="182">
        <f t="shared" ref="D429:K429" si="192">D428+D427</f>
        <v>13882.753701643149</v>
      </c>
      <c r="E429" s="182">
        <f t="shared" si="192"/>
        <v>111765.27180258714</v>
      </c>
      <c r="F429" s="182">
        <f t="shared" si="192"/>
        <v>224910.61742119229</v>
      </c>
      <c r="G429" s="182">
        <f t="shared" si="192"/>
        <v>226264.78963274194</v>
      </c>
      <c r="H429" s="182">
        <f t="shared" si="192"/>
        <v>227593.5700931371</v>
      </c>
      <c r="I429" s="182">
        <f t="shared" si="192"/>
        <v>228891.90644738282</v>
      </c>
      <c r="J429" s="182">
        <f t="shared" si="192"/>
        <v>230154.87732973311</v>
      </c>
      <c r="K429" s="182">
        <f t="shared" si="192"/>
        <v>231377.69257483596</v>
      </c>
    </row>
    <row r="430" spans="2:11">
      <c r="C430" s="175" t="s">
        <v>1081</v>
      </c>
      <c r="D430" s="683">
        <f t="shared" ref="D430:K430" si="193">-SUM(D410:D413)*$F$14</f>
        <v>-104952.80424939547</v>
      </c>
      <c r="E430" s="683">
        <f t="shared" si="193"/>
        <v>-845458.93552243896</v>
      </c>
      <c r="F430" s="683">
        <f t="shared" si="193"/>
        <v>-1702590.8740994283</v>
      </c>
      <c r="G430" s="683">
        <f t="shared" si="193"/>
        <v>-1714263.8771539791</v>
      </c>
      <c r="H430" s="683">
        <f t="shared" si="193"/>
        <v>-1725936.8802085291</v>
      </c>
      <c r="I430" s="683">
        <f t="shared" si="193"/>
        <v>-1737609.8832630799</v>
      </c>
      <c r="J430" s="683">
        <f t="shared" si="193"/>
        <v>-1749282.8863176303</v>
      </c>
      <c r="K430" s="683">
        <f t="shared" si="193"/>
        <v>-1760955.8893721807</v>
      </c>
    </row>
    <row r="431" spans="2:11">
      <c r="C431" s="175" t="s">
        <v>1082</v>
      </c>
      <c r="D431" s="182">
        <f t="shared" ref="D431:K431" si="194">(SUM(D410:D413)*$F$15*D$61)+(SUM(D410:D413)*$F$17*(1-D$66))</f>
        <v>255208.24167036018</v>
      </c>
      <c r="E431" s="182">
        <f t="shared" si="194"/>
        <v>2040588.0368726458</v>
      </c>
      <c r="F431" s="182">
        <f t="shared" si="194"/>
        <v>4073157.3974770368</v>
      </c>
      <c r="G431" s="182">
        <f t="shared" si="194"/>
        <v>4059388.8216426545</v>
      </c>
      <c r="H431" s="182">
        <f t="shared" si="194"/>
        <v>4039983.5286263693</v>
      </c>
      <c r="I431" s="182">
        <f t="shared" si="194"/>
        <v>4013819.9456766476</v>
      </c>
      <c r="J431" s="182">
        <f t="shared" si="194"/>
        <v>3979805.5783573207</v>
      </c>
      <c r="K431" s="182">
        <f t="shared" si="194"/>
        <v>3936877.0574199031</v>
      </c>
    </row>
    <row r="432" spans="2:11">
      <c r="B432" t="s">
        <v>840</v>
      </c>
      <c r="C432" s="769" t="s">
        <v>1112</v>
      </c>
      <c r="D432" s="184">
        <f t="shared" ref="D432:K432" si="195">D431+D430</f>
        <v>150255.43742096471</v>
      </c>
      <c r="E432" s="184">
        <f t="shared" si="195"/>
        <v>1195129.1013502069</v>
      </c>
      <c r="F432" s="184">
        <f t="shared" si="195"/>
        <v>2370566.5233776085</v>
      </c>
      <c r="G432" s="184">
        <f t="shared" si="195"/>
        <v>2345124.9444886753</v>
      </c>
      <c r="H432" s="184">
        <f t="shared" si="195"/>
        <v>2314046.6484178402</v>
      </c>
      <c r="I432" s="184">
        <f t="shared" si="195"/>
        <v>2276210.0624135677</v>
      </c>
      <c r="J432" s="184">
        <f t="shared" si="195"/>
        <v>2230522.6920396904</v>
      </c>
      <c r="K432" s="184">
        <f t="shared" si="195"/>
        <v>2175921.1680477224</v>
      </c>
    </row>
    <row r="433" spans="1:12">
      <c r="C433" s="760"/>
      <c r="D433" s="759"/>
      <c r="E433" s="759"/>
      <c r="F433" s="759"/>
      <c r="G433" s="759"/>
      <c r="H433" s="759"/>
      <c r="I433" s="759"/>
      <c r="J433" s="759"/>
      <c r="K433" s="46"/>
    </row>
    <row r="434" spans="1:12">
      <c r="C434" s="178" t="s">
        <v>530</v>
      </c>
      <c r="D434" s="179">
        <v>2026</v>
      </c>
      <c r="E434" s="179">
        <v>2027</v>
      </c>
      <c r="F434" s="179">
        <v>2028</v>
      </c>
      <c r="G434" s="179">
        <v>2029</v>
      </c>
      <c r="H434" s="179">
        <v>2030</v>
      </c>
      <c r="I434" s="179">
        <v>2031</v>
      </c>
      <c r="J434" s="179">
        <v>2032</v>
      </c>
      <c r="K434" s="180">
        <v>2033</v>
      </c>
      <c r="L434" s="765" t="s">
        <v>203</v>
      </c>
    </row>
    <row r="435" spans="1:12">
      <c r="C435" s="174" t="s">
        <v>416</v>
      </c>
      <c r="D435" s="184">
        <f t="shared" ref="D435:K435" si="196">D418-D129</f>
        <v>73200.938128948212</v>
      </c>
      <c r="E435" s="184">
        <f t="shared" si="196"/>
        <v>592963.0365639925</v>
      </c>
      <c r="F435" s="184">
        <f t="shared" si="196"/>
        <v>1201123.4581196308</v>
      </c>
      <c r="G435" s="184">
        <f t="shared" si="196"/>
        <v>1216823.5251632333</v>
      </c>
      <c r="H435" s="184">
        <f t="shared" si="196"/>
        <v>1233042.6056095362</v>
      </c>
      <c r="I435" s="184">
        <f t="shared" si="196"/>
        <v>1249796.9667137861</v>
      </c>
      <c r="J435" s="184">
        <f t="shared" si="196"/>
        <v>1267102.7737281322</v>
      </c>
      <c r="K435" s="184">
        <f t="shared" si="196"/>
        <v>1284976.0493008494</v>
      </c>
      <c r="L435" s="682">
        <f>SUM(D435:K435)</f>
        <v>8119029.3533281088</v>
      </c>
    </row>
    <row r="436" spans="1:12">
      <c r="C436" s="175" t="s">
        <v>875</v>
      </c>
      <c r="D436" s="182">
        <f>D419</f>
        <v>204013.08048348367</v>
      </c>
      <c r="E436" s="182">
        <f t="shared" ref="E436:K436" si="197">E419</f>
        <v>401036.5682796383</v>
      </c>
      <c r="F436" s="182">
        <f t="shared" si="197"/>
        <v>394428.42627479881</v>
      </c>
      <c r="G436" s="182">
        <f t="shared" si="197"/>
        <v>387198.55132359406</v>
      </c>
      <c r="H436" s="182">
        <f t="shared" si="197"/>
        <v>380153.36744774447</v>
      </c>
      <c r="I436" s="182">
        <f t="shared" si="197"/>
        <v>373287.93025672273</v>
      </c>
      <c r="J436" s="182">
        <f t="shared" si="197"/>
        <v>366597.43126894685</v>
      </c>
      <c r="K436" s="182">
        <f t="shared" si="197"/>
        <v>360077.19410823105</v>
      </c>
      <c r="L436" s="682">
        <f t="shared" ref="L436:L442" si="198">SUM(D436:K436)</f>
        <v>2866792.5494431597</v>
      </c>
    </row>
    <row r="437" spans="1:12">
      <c r="C437" s="175" t="s">
        <v>880</v>
      </c>
      <c r="D437" s="182">
        <f>D420</f>
        <v>272457.50593891187</v>
      </c>
      <c r="E437" s="182">
        <f t="shared" ref="E437:K437" si="199">E420</f>
        <v>1088390.4093933019</v>
      </c>
      <c r="F437" s="182">
        <f t="shared" si="199"/>
        <v>1631546.9831043396</v>
      </c>
      <c r="G437" s="182">
        <f t="shared" si="199"/>
        <v>2169965.3603693061</v>
      </c>
      <c r="H437" s="182">
        <f t="shared" si="199"/>
        <v>2706117.6098403553</v>
      </c>
      <c r="I437" s="182">
        <f t="shared" si="199"/>
        <v>3240274.1814944558</v>
      </c>
      <c r="J437" s="182">
        <f t="shared" si="199"/>
        <v>3772706.6424751705</v>
      </c>
      <c r="K437" s="182">
        <f t="shared" si="199"/>
        <v>4303688.0232311646</v>
      </c>
      <c r="L437" s="682">
        <f t="shared" si="198"/>
        <v>19185146.715847008</v>
      </c>
    </row>
    <row r="438" spans="1:12">
      <c r="C438" s="175" t="s">
        <v>417</v>
      </c>
      <c r="D438" s="182">
        <f>D423</f>
        <v>288825.26784022921</v>
      </c>
      <c r="E438" s="182">
        <f t="shared" ref="E438:K438" si="200">E423</f>
        <v>2326663.9252432366</v>
      </c>
      <c r="F438" s="182">
        <f t="shared" si="200"/>
        <v>4685451.415529279</v>
      </c>
      <c r="G438" s="182">
        <f t="shared" si="200"/>
        <v>4717574.9805720858</v>
      </c>
      <c r="H438" s="182">
        <f t="shared" si="200"/>
        <v>4749698.5456148908</v>
      </c>
      <c r="I438" s="182">
        <f t="shared" si="200"/>
        <v>4781822.1106576975</v>
      </c>
      <c r="J438" s="182">
        <f t="shared" si="200"/>
        <v>4813945.6757005043</v>
      </c>
      <c r="K438" s="182">
        <f t="shared" si="200"/>
        <v>4846069.2407433102</v>
      </c>
      <c r="L438" s="682">
        <f t="shared" si="198"/>
        <v>31210051.161901232</v>
      </c>
    </row>
    <row r="439" spans="1:12">
      <c r="C439" s="175" t="s">
        <v>418</v>
      </c>
      <c r="D439" s="182">
        <f>D426</f>
        <v>-14100.606525763091</v>
      </c>
      <c r="E439" s="182">
        <f t="shared" ref="E439:K439" si="201">E426</f>
        <v>-116985.33830674598</v>
      </c>
      <c r="F439" s="182">
        <f t="shared" si="201"/>
        <v>-243635.64852390625</v>
      </c>
      <c r="G439" s="182">
        <f t="shared" si="201"/>
        <v>-254579.49074330227</v>
      </c>
      <c r="H439" s="182">
        <f t="shared" si="201"/>
        <v>-266777.02968577202</v>
      </c>
      <c r="I439" s="182">
        <f t="shared" si="201"/>
        <v>-280477.72120264114</v>
      </c>
      <c r="J439" s="182">
        <f t="shared" si="201"/>
        <v>-295924.55365937017</v>
      </c>
      <c r="K439" s="182">
        <f t="shared" si="201"/>
        <v>-313354.03751040052</v>
      </c>
      <c r="L439" s="682">
        <f t="shared" si="198"/>
        <v>-1785834.4261579015</v>
      </c>
    </row>
    <row r="440" spans="1:12">
      <c r="C440" s="175" t="s">
        <v>419</v>
      </c>
      <c r="D440" s="182">
        <f>D429</f>
        <v>13882.753701643149</v>
      </c>
      <c r="E440" s="182">
        <f t="shared" ref="E440:K440" si="202">E429</f>
        <v>111765.27180258714</v>
      </c>
      <c r="F440" s="182">
        <f t="shared" si="202"/>
        <v>224910.61742119229</v>
      </c>
      <c r="G440" s="182">
        <f t="shared" si="202"/>
        <v>226264.78963274194</v>
      </c>
      <c r="H440" s="182">
        <f t="shared" si="202"/>
        <v>227593.5700931371</v>
      </c>
      <c r="I440" s="182">
        <f t="shared" si="202"/>
        <v>228891.90644738282</v>
      </c>
      <c r="J440" s="182">
        <f t="shared" si="202"/>
        <v>230154.87732973311</v>
      </c>
      <c r="K440" s="182">
        <f t="shared" si="202"/>
        <v>231377.69257483596</v>
      </c>
      <c r="L440" s="682">
        <f t="shared" si="198"/>
        <v>1494841.4790032534</v>
      </c>
    </row>
    <row r="441" spans="1:12">
      <c r="C441" s="176" t="s">
        <v>420</v>
      </c>
      <c r="D441" s="183">
        <f>D432</f>
        <v>150255.43742096471</v>
      </c>
      <c r="E441" s="183">
        <f t="shared" ref="E441:K441" si="203">E432</f>
        <v>1195129.1013502069</v>
      </c>
      <c r="F441" s="183">
        <f t="shared" si="203"/>
        <v>2370566.5233776085</v>
      </c>
      <c r="G441" s="183">
        <f t="shared" si="203"/>
        <v>2345124.9444886753</v>
      </c>
      <c r="H441" s="183">
        <f t="shared" si="203"/>
        <v>2314046.6484178402</v>
      </c>
      <c r="I441" s="183">
        <f t="shared" si="203"/>
        <v>2276210.0624135677</v>
      </c>
      <c r="J441" s="183">
        <f t="shared" si="203"/>
        <v>2230522.6920396904</v>
      </c>
      <c r="K441" s="183">
        <f t="shared" si="203"/>
        <v>2175921.1680477224</v>
      </c>
      <c r="L441" s="764">
        <f t="shared" si="198"/>
        <v>15057776.577556277</v>
      </c>
    </row>
    <row r="442" spans="1:12">
      <c r="C442" s="761" t="s">
        <v>203</v>
      </c>
      <c r="D442" s="762">
        <f>SUM(D435:D441)</f>
        <v>988534.37698841782</v>
      </c>
      <c r="E442" s="762">
        <f t="shared" ref="E442:K442" si="204">SUM(E435:E441)</f>
        <v>5598962.9743262175</v>
      </c>
      <c r="F442" s="762">
        <f t="shared" si="204"/>
        <v>10264391.775302943</v>
      </c>
      <c r="G442" s="762">
        <f t="shared" si="204"/>
        <v>10808372.660806336</v>
      </c>
      <c r="H442" s="762">
        <f t="shared" si="204"/>
        <v>11343875.317337731</v>
      </c>
      <c r="I442" s="762">
        <f t="shared" si="204"/>
        <v>11869805.436780971</v>
      </c>
      <c r="J442" s="762">
        <f t="shared" si="204"/>
        <v>12385105.538882809</v>
      </c>
      <c r="K442" s="762">
        <f t="shared" si="204"/>
        <v>12888755.330495713</v>
      </c>
      <c r="L442" s="763">
        <f t="shared" si="198"/>
        <v>76147803.410921142</v>
      </c>
    </row>
    <row r="443" spans="1:12">
      <c r="A443" s="125" t="s">
        <v>682</v>
      </c>
      <c r="B443" s="125"/>
    </row>
    <row r="444" spans="1:12">
      <c r="C444" s="178" t="s">
        <v>529</v>
      </c>
      <c r="D444" s="179">
        <v>2026</v>
      </c>
      <c r="E444" s="179">
        <v>2027</v>
      </c>
      <c r="F444" s="179">
        <v>2028</v>
      </c>
      <c r="G444" s="179">
        <v>2029</v>
      </c>
      <c r="H444" s="179">
        <v>2030</v>
      </c>
      <c r="I444" s="179">
        <v>2031</v>
      </c>
      <c r="J444" s="179">
        <v>2032</v>
      </c>
      <c r="K444" s="180">
        <v>2033</v>
      </c>
    </row>
    <row r="445" spans="1:12">
      <c r="C445" s="174" t="s">
        <v>1048</v>
      </c>
      <c r="D445" s="564">
        <f t="shared" ref="D445:K449" si="205">D86+D458</f>
        <v>26068224.640790872</v>
      </c>
      <c r="E445" s="564">
        <f t="shared" si="205"/>
        <v>52091672.799381189</v>
      </c>
      <c r="F445" s="564">
        <f t="shared" si="205"/>
        <v>52126120.602524959</v>
      </c>
      <c r="G445" s="564">
        <f t="shared" si="205"/>
        <v>52064633.027230218</v>
      </c>
      <c r="H445" s="564">
        <f t="shared" si="205"/>
        <v>52049242.001600645</v>
      </c>
      <c r="I445" s="564">
        <f t="shared" si="205"/>
        <v>52081630.495002039</v>
      </c>
      <c r="J445" s="564">
        <f t="shared" si="205"/>
        <v>52163588.269122653</v>
      </c>
      <c r="K445" s="564">
        <f t="shared" si="205"/>
        <v>52297017.464531235</v>
      </c>
    </row>
    <row r="446" spans="1:12">
      <c r="C446" s="175" t="s">
        <v>1049</v>
      </c>
      <c r="D446" s="564">
        <f t="shared" si="205"/>
        <v>35745509.695331417</v>
      </c>
      <c r="E446" s="564">
        <f t="shared" si="205"/>
        <v>70301968.646734208</v>
      </c>
      <c r="F446" s="564">
        <f t="shared" si="205"/>
        <v>69190632.067584276</v>
      </c>
      <c r="G446" s="564">
        <f t="shared" si="205"/>
        <v>67922994.789338395</v>
      </c>
      <c r="H446" s="564">
        <f t="shared" si="205"/>
        <v>66687715.612409428</v>
      </c>
      <c r="I446" s="564">
        <f t="shared" si="205"/>
        <v>65483928.448917553</v>
      </c>
      <c r="J446" s="564">
        <f t="shared" si="205"/>
        <v>64310791.006395705</v>
      </c>
      <c r="K446" s="564">
        <f t="shared" si="205"/>
        <v>63167484.121985532</v>
      </c>
    </row>
    <row r="447" spans="1:12">
      <c r="C447" s="175" t="s">
        <v>1050</v>
      </c>
      <c r="D447" s="564">
        <f t="shared" si="205"/>
        <v>89337810.867915884</v>
      </c>
      <c r="E447" s="564">
        <f t="shared" si="205"/>
        <v>180027997.24871638</v>
      </c>
      <c r="F447" s="564">
        <f t="shared" si="205"/>
        <v>181521345.18138856</v>
      </c>
      <c r="G447" s="564">
        <f t="shared" si="205"/>
        <v>182537963.99263239</v>
      </c>
      <c r="H447" s="564">
        <f t="shared" si="205"/>
        <v>183563095.23353586</v>
      </c>
      <c r="I447" s="564">
        <f t="shared" si="205"/>
        <v>184596579.51473501</v>
      </c>
      <c r="J447" s="564">
        <f t="shared" si="205"/>
        <v>185638251.08159342</v>
      </c>
      <c r="K447" s="564">
        <f t="shared" si="205"/>
        <v>186687937.83532616</v>
      </c>
    </row>
    <row r="448" spans="1:12">
      <c r="C448" s="589" t="s">
        <v>1051</v>
      </c>
      <c r="D448" s="564">
        <f t="shared" si="205"/>
        <v>113913899.17097609</v>
      </c>
      <c r="E448" s="564">
        <f t="shared" si="205"/>
        <v>226921456.08919775</v>
      </c>
      <c r="F448" s="564">
        <f t="shared" si="205"/>
        <v>226160554.53824341</v>
      </c>
      <c r="G448" s="564">
        <f t="shared" si="205"/>
        <v>224779067.27714086</v>
      </c>
      <c r="H448" s="564">
        <f t="shared" si="205"/>
        <v>223388963.6054019</v>
      </c>
      <c r="I448" s="564">
        <f t="shared" si="205"/>
        <v>221990389.56638744</v>
      </c>
      <c r="J448" s="564">
        <f t="shared" si="205"/>
        <v>220583497.44588056</v>
      </c>
      <c r="K448" s="564">
        <f t="shared" si="205"/>
        <v>219168445.75623608</v>
      </c>
    </row>
    <row r="449" spans="3:11">
      <c r="C449" s="177" t="s">
        <v>1030</v>
      </c>
      <c r="D449" s="564">
        <f t="shared" si="205"/>
        <v>37192405.369920559</v>
      </c>
      <c r="E449" s="564">
        <f t="shared" si="205"/>
        <v>76175689.609985992</v>
      </c>
      <c r="F449" s="564">
        <f t="shared" si="205"/>
        <v>78064435.171437025</v>
      </c>
      <c r="G449" s="564">
        <f t="shared" si="205"/>
        <v>79784812.370414793</v>
      </c>
      <c r="H449" s="564">
        <f t="shared" si="205"/>
        <v>81543016.823862582</v>
      </c>
      <c r="I449" s="564">
        <f t="shared" si="205"/>
        <v>83339875.450556815</v>
      </c>
      <c r="J449" s="564">
        <f t="shared" si="205"/>
        <v>85176233.038533807</v>
      </c>
      <c r="K449" s="564">
        <f t="shared" si="205"/>
        <v>87052952.624522373</v>
      </c>
    </row>
    <row r="450" spans="3:11">
      <c r="C450" s="177" t="s">
        <v>1060</v>
      </c>
      <c r="D450" s="564">
        <f t="shared" ref="D450:K450" si="206">SUM(D445:D449)</f>
        <v>302257849.7449348</v>
      </c>
      <c r="E450" s="564">
        <f t="shared" si="206"/>
        <v>605518784.39401555</v>
      </c>
      <c r="F450" s="564">
        <f t="shared" si="206"/>
        <v>607063087.56117821</v>
      </c>
      <c r="G450" s="564">
        <f t="shared" si="206"/>
        <v>607089471.45675659</v>
      </c>
      <c r="H450" s="564">
        <f t="shared" si="206"/>
        <v>607232033.27681041</v>
      </c>
      <c r="I450" s="564">
        <f t="shared" si="206"/>
        <v>607492403.47559881</v>
      </c>
      <c r="J450" s="564">
        <f t="shared" si="206"/>
        <v>607872360.84152615</v>
      </c>
      <c r="K450" s="564">
        <f t="shared" si="206"/>
        <v>608373837.80260134</v>
      </c>
    </row>
    <row r="451" spans="3:11">
      <c r="C451" s="177" t="s">
        <v>878</v>
      </c>
      <c r="D451" s="705">
        <f t="shared" ref="D451:K451" si="207">D446*$F$29/3600</f>
        <v>29787.924746109511</v>
      </c>
      <c r="E451" s="705">
        <f t="shared" si="207"/>
        <v>58584.973872278504</v>
      </c>
      <c r="F451" s="705">
        <f t="shared" si="207"/>
        <v>57658.860056320227</v>
      </c>
      <c r="G451" s="705">
        <f t="shared" si="207"/>
        <v>56602.49565778199</v>
      </c>
      <c r="H451" s="705">
        <f t="shared" si="207"/>
        <v>55573.09634367453</v>
      </c>
      <c r="I451" s="705">
        <f t="shared" si="207"/>
        <v>54569.940374097954</v>
      </c>
      <c r="J451" s="705">
        <f t="shared" si="207"/>
        <v>53592.325838663091</v>
      </c>
      <c r="K451" s="705">
        <f t="shared" si="207"/>
        <v>52639.570101654615</v>
      </c>
    </row>
    <row r="452" spans="3:11">
      <c r="C452" s="177" t="s">
        <v>879</v>
      </c>
      <c r="D452" s="564">
        <f t="shared" ref="D452:K452" si="208">(D446+D448+D449)*$F$44*$F$45*D$69</f>
        <v>1109899.7765631946</v>
      </c>
      <c r="E452" s="564">
        <f t="shared" si="208"/>
        <v>4435981.4784295065</v>
      </c>
      <c r="F452" s="564">
        <f t="shared" si="208"/>
        <v>6654266.3800708568</v>
      </c>
      <c r="G452" s="564">
        <f t="shared" si="208"/>
        <v>8850288.1366206035</v>
      </c>
      <c r="H452" s="564">
        <f t="shared" si="208"/>
        <v>11037104.972437715</v>
      </c>
      <c r="I452" s="564">
        <f t="shared" si="208"/>
        <v>13215817.855123315</v>
      </c>
      <c r="J452" s="564">
        <f t="shared" si="208"/>
        <v>15387532.283587882</v>
      </c>
      <c r="K452" s="564">
        <f t="shared" si="208"/>
        <v>17553359.696530398</v>
      </c>
    </row>
    <row r="453" spans="3:11">
      <c r="C453" s="704" t="s">
        <v>1333</v>
      </c>
      <c r="D453" s="766">
        <f>'DM_xx_Distribúcia presunu'!$K$22*'B_02 Benefity varianty'!D$71*(1+D72)/2</f>
        <v>3236.6600590274998</v>
      </c>
      <c r="E453" s="766">
        <f>'DM_xx_Distribúcia presunu'!$K$22*'B_02 Benefity varianty'!E$71*(1+E72)</f>
        <v>26073.27348444</v>
      </c>
      <c r="F453" s="766">
        <f>'DM_xx_Distribúcia presunu'!$K$22*'B_02 Benefity varianty'!F$71*(1+F72)</f>
        <v>52506.532993319997</v>
      </c>
      <c r="G453" s="766">
        <f>'DM_xx_Distribúcia presunu'!$K$22*'B_02 Benefity varianty'!G$71*(1+G72)</f>
        <v>52866.519017760002</v>
      </c>
      <c r="H453" s="766">
        <f>'DM_xx_Distribúcia presunu'!$K$22*'B_02 Benefity varianty'!H$71*(1+H72)</f>
        <v>53226.505042199999</v>
      </c>
      <c r="I453" s="766">
        <f>'DM_xx_Distribúcia presunu'!$K$22*'B_02 Benefity varianty'!I$71*(1+I72)</f>
        <v>53586.491066640003</v>
      </c>
      <c r="J453" s="766">
        <f>'DM_xx_Distribúcia presunu'!$K$22*'B_02 Benefity varianty'!J$71*(1+J72)</f>
        <v>53946.477091079993</v>
      </c>
      <c r="K453" s="766">
        <f>'DM_xx_Distribúcia presunu'!$K$22*'B_02 Benefity varianty'!K$71*(1+K72)</f>
        <v>54306.463115520004</v>
      </c>
    </row>
    <row r="454" spans="3:11">
      <c r="C454" s="702" t="s">
        <v>1334</v>
      </c>
      <c r="D454" s="767">
        <f>'DM_xx_Distribúcia presunu'!$L$22*'B_02 Benefity varianty'!D$71*(1+D72)/2</f>
        <v>675.12962347249993</v>
      </c>
      <c r="E454" s="767">
        <f>'DM_xx_Distribúcia presunu'!$L$22*'B_02 Benefity varianty'!E$71*(1+E72)</f>
        <v>5438.5814355600005</v>
      </c>
      <c r="F454" s="767">
        <f>'DM_xx_Distribúcia presunu'!$L$22*'B_02 Benefity varianty'!F$71*(1+F72)</f>
        <v>10952.251766679999</v>
      </c>
      <c r="G454" s="767">
        <f>'DM_xx_Distribúcia presunu'!$L$22*'B_02 Benefity varianty'!G$71*(1+G72)</f>
        <v>11027.34066224</v>
      </c>
      <c r="H454" s="767">
        <f>'DM_xx_Distribúcia presunu'!$L$22*'B_02 Benefity varianty'!H$71*(1+H72)</f>
        <v>11102.4295578</v>
      </c>
      <c r="I454" s="767">
        <f>'DM_xx_Distribúcia presunu'!$L$22*'B_02 Benefity varianty'!I$71*(1+I72)</f>
        <v>11177.51845336</v>
      </c>
      <c r="J454" s="767">
        <f>'DM_xx_Distribúcia presunu'!$L$22*'B_02 Benefity varianty'!J$71*(1+J72)</f>
        <v>11252.607348919999</v>
      </c>
      <c r="K454" s="767">
        <f>'DM_xx_Distribúcia presunu'!$L$22*'B_02 Benefity varianty'!K$71*(1+K72)</f>
        <v>11327.696244480001</v>
      </c>
    </row>
    <row r="455" spans="3:11">
      <c r="C455" s="702" t="s">
        <v>1335</v>
      </c>
      <c r="D455" s="767">
        <f>'DM_xx_Distribúcia presunu'!$K$9*'B_02 Benefity varianty'!D$71*(1+D72)/2</f>
        <v>368.17761425374999</v>
      </c>
      <c r="E455" s="767">
        <f>'DM_xx_Distribúcia presunu'!$K$9*'B_02 Benefity varianty'!E$71*(1+E72)</f>
        <v>2965.8955380600005</v>
      </c>
      <c r="F455" s="767">
        <f>'DM_xx_Distribúcia presunu'!$K$9*'B_02 Benefity varianty'!F$71*(1+F72)</f>
        <v>5972.7403241800002</v>
      </c>
      <c r="G455" s="767">
        <f>'DM_xx_Distribúcia presunu'!$K$9*'B_02 Benefity varianty'!G$71*(1+G72)</f>
        <v>6013.6895722400004</v>
      </c>
      <c r="H455" s="767">
        <f>'DM_xx_Distribúcia presunu'!$K$9*'B_02 Benefity varianty'!H$71*(1+H72)</f>
        <v>6054.6388203000006</v>
      </c>
      <c r="I455" s="767">
        <f>'DM_xx_Distribúcia presunu'!$K$9*'B_02 Benefity varianty'!I$71*(1+I72)</f>
        <v>6095.5880683600008</v>
      </c>
      <c r="J455" s="767">
        <f>'DM_xx_Distribúcia presunu'!$K$9*'B_02 Benefity varianty'!J$71*(1+J72)</f>
        <v>6136.53731642</v>
      </c>
      <c r="K455" s="767">
        <f>'DM_xx_Distribúcia presunu'!$K$9*'B_02 Benefity varianty'!K$71*(1+K72)</f>
        <v>6177.4865644800011</v>
      </c>
    </row>
    <row r="456" spans="3:11">
      <c r="C456" s="706" t="s">
        <v>1336</v>
      </c>
      <c r="D456" s="767">
        <f>'DM_xx_Distribúcia presunu'!$L$9*'B_02 Benefity varianty'!D$71*(1+D72)/2</f>
        <v>72.389291371249996</v>
      </c>
      <c r="E456" s="767">
        <f>'DM_xx_Distribúcia presunu'!$L$9*'B_02 Benefity varianty'!E$71*(1+E72)</f>
        <v>583.13995193999995</v>
      </c>
      <c r="F456" s="767">
        <f>'DM_xx_Distribúcia presunu'!$L$9*'B_02 Benefity varianty'!F$71*(1+F72)</f>
        <v>1174.3311458199998</v>
      </c>
      <c r="G456" s="767">
        <f>'DM_xx_Distribúcia presunu'!$L$9*'B_02 Benefity varianty'!G$71*(1+G72)</f>
        <v>1182.38238776</v>
      </c>
      <c r="H456" s="767">
        <f>'DM_xx_Distribúcia presunu'!$L$9*'B_02 Benefity varianty'!H$71*(1+H72)</f>
        <v>1190.4336297</v>
      </c>
      <c r="I456" s="767">
        <f>'DM_xx_Distribúcia presunu'!$L$9*'B_02 Benefity varianty'!I$71*(1+I72)</f>
        <v>1198.4848716399999</v>
      </c>
      <c r="J456" s="767">
        <f>'DM_xx_Distribúcia presunu'!$L$9*'B_02 Benefity varianty'!J$71*(1+J72)</f>
        <v>1206.5361135799999</v>
      </c>
      <c r="K456" s="767">
        <f>'DM_xx_Distribúcia presunu'!$L$9*'B_02 Benefity varianty'!K$71*(1+K72)</f>
        <v>1214.5873555200001</v>
      </c>
    </row>
    <row r="457" spans="3:11">
      <c r="C457" s="704" t="s">
        <v>1342</v>
      </c>
      <c r="D457" s="767">
        <f t="shared" ref="D457:K457" si="209">(D453*$F$31+D454*$F$32+D455*$F$31+D456*$F$32)*$F$41</f>
        <v>202667.45110937499</v>
      </c>
      <c r="E457" s="767">
        <f t="shared" si="209"/>
        <v>1632610.0927500001</v>
      </c>
      <c r="F457" s="767">
        <f t="shared" si="209"/>
        <v>3287761.1532499995</v>
      </c>
      <c r="G457" s="767">
        <f t="shared" si="209"/>
        <v>3310302.1210000003</v>
      </c>
      <c r="H457" s="767">
        <f t="shared" si="209"/>
        <v>3332843.0887499996</v>
      </c>
      <c r="I457" s="767">
        <f t="shared" si="209"/>
        <v>3355384.0565000004</v>
      </c>
      <c r="J457" s="767">
        <f t="shared" si="209"/>
        <v>3377925.0242499993</v>
      </c>
      <c r="K457" s="767">
        <f t="shared" si="209"/>
        <v>3400465.9920000006</v>
      </c>
    </row>
    <row r="458" spans="3:11">
      <c r="C458" s="702" t="s">
        <v>1337</v>
      </c>
      <c r="D458" s="767">
        <f t="shared" ref="D458:K458" si="210">D457*D92</f>
        <v>17479.051900071368</v>
      </c>
      <c r="E458" s="767">
        <f t="shared" si="210"/>
        <v>140450.45827209338</v>
      </c>
      <c r="F458" s="767">
        <f t="shared" si="210"/>
        <v>282307.12408343382</v>
      </c>
      <c r="G458" s="767">
        <f t="shared" si="210"/>
        <v>283894.99940685998</v>
      </c>
      <c r="H458" s="767">
        <f t="shared" si="210"/>
        <v>285676.55685686244</v>
      </c>
      <c r="I458" s="767">
        <f t="shared" si="210"/>
        <v>287664.29275435937</v>
      </c>
      <c r="J458" s="767">
        <f t="shared" si="210"/>
        <v>289871.19915274467</v>
      </c>
      <c r="K458" s="767">
        <f t="shared" si="210"/>
        <v>292310.77722456289</v>
      </c>
    </row>
    <row r="459" spans="3:11">
      <c r="C459" s="702" t="s">
        <v>1338</v>
      </c>
      <c r="D459" s="767">
        <f t="shared" ref="D459:K459" si="211">D457*D93</f>
        <v>23967.785599849987</v>
      </c>
      <c r="E459" s="767">
        <f t="shared" si="211"/>
        <v>189549.36908805615</v>
      </c>
      <c r="F459" s="767">
        <f t="shared" si="211"/>
        <v>374725.91719339578</v>
      </c>
      <c r="G459" s="767">
        <f t="shared" si="211"/>
        <v>370366.55103947851</v>
      </c>
      <c r="H459" s="767">
        <f t="shared" si="211"/>
        <v>366021.02640067047</v>
      </c>
      <c r="I459" s="767">
        <f t="shared" si="211"/>
        <v>361689.67417106213</v>
      </c>
      <c r="J459" s="767">
        <f t="shared" si="211"/>
        <v>357372.77143030049</v>
      </c>
      <c r="K459" s="767">
        <f t="shared" si="211"/>
        <v>353070.5434882745</v>
      </c>
    </row>
    <row r="460" spans="3:11">
      <c r="C460" s="702" t="s">
        <v>1339</v>
      </c>
      <c r="D460" s="767">
        <f t="shared" ref="D460:K460" si="212">D457*D94</f>
        <v>59902.055253720828</v>
      </c>
      <c r="E460" s="767">
        <f t="shared" si="212"/>
        <v>485394.56225121941</v>
      </c>
      <c r="F460" s="767">
        <f t="shared" si="212"/>
        <v>983091.93789172615</v>
      </c>
      <c r="G460" s="767">
        <f t="shared" si="212"/>
        <v>995332.38143279881</v>
      </c>
      <c r="H460" s="767">
        <f t="shared" si="212"/>
        <v>1007501.1853331544</v>
      </c>
      <c r="I460" s="767">
        <f t="shared" si="212"/>
        <v>1019588.7491670595</v>
      </c>
      <c r="J460" s="767">
        <f t="shared" si="212"/>
        <v>1031585.1388906926</v>
      </c>
      <c r="K460" s="767">
        <f t="shared" si="212"/>
        <v>1043480.0845785522</v>
      </c>
    </row>
    <row r="461" spans="3:11">
      <c r="C461" s="702" t="s">
        <v>1340</v>
      </c>
      <c r="D461" s="767">
        <f t="shared" ref="D461:K461" si="213">D457*D95</f>
        <v>76380.612150831163</v>
      </c>
      <c r="E461" s="767">
        <f t="shared" si="213"/>
        <v>611829.50722744211</v>
      </c>
      <c r="F461" s="767">
        <f t="shared" si="213"/>
        <v>1224851.0918288708</v>
      </c>
      <c r="G461" s="767">
        <f t="shared" si="213"/>
        <v>1225662.2098525767</v>
      </c>
      <c r="H461" s="767">
        <f t="shared" si="213"/>
        <v>1226088.7480484662</v>
      </c>
      <c r="I461" s="767">
        <f t="shared" si="213"/>
        <v>1226127.2891409898</v>
      </c>
      <c r="J461" s="767">
        <f t="shared" si="213"/>
        <v>1225774.6263171176</v>
      </c>
      <c r="K461" s="767">
        <f t="shared" si="213"/>
        <v>1225027.7707625495</v>
      </c>
    </row>
    <row r="462" spans="3:11">
      <c r="C462" s="706" t="s">
        <v>1341</v>
      </c>
      <c r="D462" s="767">
        <f t="shared" ref="D462:K462" si="214">D457*D96</f>
        <v>24937.946204901651</v>
      </c>
      <c r="E462" s="767">
        <f t="shared" si="214"/>
        <v>205386.19591118931</v>
      </c>
      <c r="F462" s="767">
        <f t="shared" si="214"/>
        <v>422785.08225257293</v>
      </c>
      <c r="G462" s="767">
        <f t="shared" si="214"/>
        <v>435045.97926828649</v>
      </c>
      <c r="H462" s="767">
        <f t="shared" si="214"/>
        <v>447555.57211084629</v>
      </c>
      <c r="I462" s="767">
        <f t="shared" si="214"/>
        <v>460314.05126652966</v>
      </c>
      <c r="J462" s="767">
        <f t="shared" si="214"/>
        <v>473321.28845914413</v>
      </c>
      <c r="K462" s="767">
        <f t="shared" si="214"/>
        <v>486576.81594606163</v>
      </c>
    </row>
    <row r="463" spans="3:11">
      <c r="C463" s="177" t="s">
        <v>917</v>
      </c>
      <c r="D463" s="767">
        <f>D$453*'DM_xx_Prejazdené km'!$C$10*$F$31*$F$41</f>
        <v>4854990.0885412497</v>
      </c>
      <c r="E463" s="767">
        <f>E$453*'DM_xx_Prejazdené km'!$C$10*$F$31*$F$41</f>
        <v>39109910.226660006</v>
      </c>
      <c r="F463" s="767">
        <f>F$453*'DM_xx_Prejazdené km'!$C$10*$F$31*$F$41</f>
        <v>78759799.489979997</v>
      </c>
      <c r="G463" s="767">
        <f>G$453*'DM_xx_Prejazdené km'!$C$10*$F$31*$F$41</f>
        <v>79299778.526640013</v>
      </c>
      <c r="H463" s="767">
        <f>H$453*'DM_xx_Prejazdené km'!$C$10*$F$31*$F$41</f>
        <v>79839757.563299999</v>
      </c>
      <c r="I463" s="767">
        <f>I$453*'DM_xx_Prejazdené km'!$C$10*$F$31*$F$41</f>
        <v>80379736.599960014</v>
      </c>
      <c r="J463" s="767">
        <f>J$453*'DM_xx_Prejazdené km'!$C$10*$F$31*$F$41</f>
        <v>80919715.636619985</v>
      </c>
      <c r="K463" s="767">
        <f>K$453*'DM_xx_Prejazdené km'!$C$10*$F$31*$F$41</f>
        <v>81459694.673280016</v>
      </c>
    </row>
    <row r="464" spans="3:11">
      <c r="C464" s="177" t="s">
        <v>927</v>
      </c>
      <c r="D464" s="767">
        <f>D$454*'DM_xx_Prejazdené km'!$C$10*$F$32*$F$41</f>
        <v>607616.66112525004</v>
      </c>
      <c r="E464" s="767">
        <f>E$454*'DM_xx_Prejazdené km'!$C$10*$F$32*$F$41</f>
        <v>4894723.2920040004</v>
      </c>
      <c r="F464" s="767">
        <f>F$454*'DM_xx_Prejazdené km'!$C$10*$F$32*$F$41</f>
        <v>9857026.590011999</v>
      </c>
      <c r="G464" s="767">
        <f>G$454*'DM_xx_Prejazdené km'!$C$10*$F$32*$F$41</f>
        <v>9924606.596016001</v>
      </c>
      <c r="H464" s="767">
        <f>H$454*'DM_xx_Prejazdené km'!$C$10*$F$32*$F$41</f>
        <v>9992186.602020001</v>
      </c>
      <c r="I464" s="767">
        <f>I$454*'DM_xx_Prejazdené km'!$C$10*$F$32*$F$41</f>
        <v>10059766.608024001</v>
      </c>
      <c r="J464" s="767">
        <f>J$454*'DM_xx_Prejazdené km'!$C$10*$F$32*$F$41</f>
        <v>10127346.614027999</v>
      </c>
      <c r="K464" s="767">
        <f>K$454*'DM_xx_Prejazdené km'!$C$10*$F$32*$F$41</f>
        <v>10194926.620032001</v>
      </c>
    </row>
    <row r="465" spans="2:11">
      <c r="C465" s="177" t="s">
        <v>918</v>
      </c>
      <c r="D465" s="767">
        <f>D$455*'DM_xx_Prejazdené km'!$D$10*'B_02 Benefity varianty'!$F$31*$F$41</f>
        <v>3111100.8404441876</v>
      </c>
      <c r="E465" s="767">
        <f>E$455*'DM_xx_Prejazdené km'!$D$10*'B_02 Benefity varianty'!$F$31*$F$41</f>
        <v>25061817.296607003</v>
      </c>
      <c r="F465" s="767">
        <f>F$455*'DM_xx_Prejazdené km'!$D$10*'B_02 Benefity varianty'!$F$31*$F$41</f>
        <v>50469655.739321001</v>
      </c>
      <c r="G465" s="767">
        <f>G$455*'DM_xx_Prejazdené km'!$D$10*'B_02 Benefity varianty'!$F$31*$F$41</f>
        <v>50815676.885428011</v>
      </c>
      <c r="H465" s="767">
        <f>H$455*'DM_xx_Prejazdené km'!$D$10*'B_02 Benefity varianty'!$F$31*$F$41</f>
        <v>51161698.031535007</v>
      </c>
      <c r="I465" s="767">
        <f>I$455*'DM_xx_Prejazdené km'!$D$10*'B_02 Benefity varianty'!$F$31*$F$41</f>
        <v>51507719.17764201</v>
      </c>
      <c r="J465" s="767">
        <f>J$455*'DM_xx_Prejazdené km'!$D$10*'B_02 Benefity varianty'!$F$31*$F$41</f>
        <v>51853740.323749006</v>
      </c>
      <c r="K465" s="767">
        <f>K$455*'DM_xx_Prejazdené km'!$D$10*'B_02 Benefity varianty'!$F$31*$F$41</f>
        <v>52199761.469856016</v>
      </c>
    </row>
    <row r="466" spans="2:11">
      <c r="C466" s="177" t="s">
        <v>919</v>
      </c>
      <c r="D466" s="767">
        <f>D$456*'DM_xx_Prejazdené km'!$D$10*'B_02 Benefity varianty'!$F$32*$F$41</f>
        <v>367013.70725223748</v>
      </c>
      <c r="E466" s="767">
        <f>E$456*'DM_xx_Prejazdené km'!$D$10*'B_02 Benefity varianty'!$F$32*$F$41</f>
        <v>2956519.5563357994</v>
      </c>
      <c r="F466" s="767">
        <f>F$456*'DM_xx_Prejazdené km'!$D$10*'B_02 Benefity varianty'!$F$32*$F$41</f>
        <v>5953858.9093073998</v>
      </c>
      <c r="G466" s="767">
        <f>G$456*'DM_xx_Prejazdené km'!$D$10*'B_02 Benefity varianty'!$F$32*$F$41</f>
        <v>5994678.7059432007</v>
      </c>
      <c r="H466" s="767">
        <f>H$456*'DM_xx_Prejazdené km'!$D$10*'B_02 Benefity varianty'!$F$32*$F$41</f>
        <v>6035498.5025789998</v>
      </c>
      <c r="I466" s="767">
        <f>I$456*'DM_xx_Prejazdené km'!$D$10*'B_02 Benefity varianty'!$F$32*$F$41</f>
        <v>6076318.2992147999</v>
      </c>
      <c r="J466" s="767">
        <f>J$456*'DM_xx_Prejazdené km'!$D$10*'B_02 Benefity varianty'!$F$32*$F$41</f>
        <v>6117138.095850599</v>
      </c>
      <c r="K466" s="767">
        <f>K$456*'DM_xx_Prejazdené km'!$D$10*'B_02 Benefity varianty'!$F$32*$F$41</f>
        <v>6157957.8924864009</v>
      </c>
    </row>
    <row r="467" spans="2:11">
      <c r="C467" s="177" t="s">
        <v>1055</v>
      </c>
      <c r="D467" s="770">
        <f t="shared" ref="D467:K468" si="215">D445*D97</f>
        <v>20902172.011071492</v>
      </c>
      <c r="E467" s="770">
        <f t="shared" si="215"/>
        <v>41250276.224613123</v>
      </c>
      <c r="F467" s="770">
        <f t="shared" si="215"/>
        <v>40732119.022623494</v>
      </c>
      <c r="G467" s="770">
        <f t="shared" si="215"/>
        <v>40112277.97812473</v>
      </c>
      <c r="H467" s="770">
        <f t="shared" si="215"/>
        <v>39501827.574390255</v>
      </c>
      <c r="I467" s="770">
        <f t="shared" si="215"/>
        <v>38900624.821710542</v>
      </c>
      <c r="J467" s="770">
        <f t="shared" si="215"/>
        <v>38308528.923143141</v>
      </c>
      <c r="K467" s="770">
        <f t="shared" si="215"/>
        <v>37725401.241260082</v>
      </c>
    </row>
    <row r="468" spans="2:11">
      <c r="C468" s="177" t="s">
        <v>1056</v>
      </c>
      <c r="D468" s="770">
        <f t="shared" si="215"/>
        <v>22249145.556362469</v>
      </c>
      <c r="E468" s="770">
        <f t="shared" si="215"/>
        <v>43908518.190140359</v>
      </c>
      <c r="F468" s="770">
        <f t="shared" si="215"/>
        <v>43356970.006437816</v>
      </c>
      <c r="G468" s="770">
        <f t="shared" si="215"/>
        <v>42697185.290593162</v>
      </c>
      <c r="H468" s="770">
        <f t="shared" si="215"/>
        <v>42047396.36528749</v>
      </c>
      <c r="I468" s="770">
        <f t="shared" si="215"/>
        <v>41407451.026297286</v>
      </c>
      <c r="J468" s="770">
        <f t="shared" si="215"/>
        <v>40777199.403471984</v>
      </c>
      <c r="K468" s="770">
        <f t="shared" si="215"/>
        <v>40156493.925338507</v>
      </c>
    </row>
    <row r="469" spans="2:11">
      <c r="C469" s="177" t="s">
        <v>1107</v>
      </c>
      <c r="D469" s="770">
        <f t="shared" ref="D469:K469" si="216">(D447+D448)*D99</f>
        <v>45168904.007130854</v>
      </c>
      <c r="E469" s="770">
        <f t="shared" si="216"/>
        <v>89614563.232196108</v>
      </c>
      <c r="F469" s="770">
        <f t="shared" si="216"/>
        <v>88959499.625492185</v>
      </c>
      <c r="G469" s="770">
        <f t="shared" si="216"/>
        <v>88071673.666672349</v>
      </c>
      <c r="H469" s="770">
        <f t="shared" si="216"/>
        <v>87192616.067421734</v>
      </c>
      <c r="I469" s="770">
        <f t="shared" si="216"/>
        <v>86322238.142885417</v>
      </c>
      <c r="J469" s="770">
        <f t="shared" si="216"/>
        <v>85460452.119888827</v>
      </c>
      <c r="K469" s="770">
        <f t="shared" si="216"/>
        <v>84607171.128808841</v>
      </c>
    </row>
    <row r="470" spans="2:11">
      <c r="C470" s="177" t="s">
        <v>1058</v>
      </c>
      <c r="D470" s="770">
        <f t="shared" ref="D470:K470" si="217">D449*D101</f>
        <v>57242097.6306355</v>
      </c>
      <c r="E470" s="770">
        <f t="shared" si="217"/>
        <v>118458736.31536847</v>
      </c>
      <c r="F470" s="770">
        <f t="shared" si="217"/>
        <v>122657285.76495671</v>
      </c>
      <c r="G470" s="770">
        <f t="shared" si="217"/>
        <v>126663004.05048387</v>
      </c>
      <c r="H470" s="770">
        <f t="shared" si="217"/>
        <v>130799401.94280234</v>
      </c>
      <c r="I470" s="770">
        <f t="shared" si="217"/>
        <v>135070733.39281261</v>
      </c>
      <c r="J470" s="770">
        <f t="shared" si="217"/>
        <v>139481390.31186196</v>
      </c>
      <c r="K470" s="770">
        <f t="shared" si="217"/>
        <v>144035907.02167037</v>
      </c>
    </row>
    <row r="471" spans="2:11">
      <c r="C471" s="177" t="s">
        <v>1061</v>
      </c>
      <c r="D471" s="184">
        <f t="shared" ref="D471:K471" si="218">SUM(D467:D470)</f>
        <v>145562319.20520031</v>
      </c>
      <c r="E471" s="184">
        <f t="shared" si="218"/>
        <v>293232093.96231806</v>
      </c>
      <c r="F471" s="184">
        <f t="shared" si="218"/>
        <v>295705874.41951025</v>
      </c>
      <c r="G471" s="184">
        <f t="shared" si="218"/>
        <v>297544140.98587412</v>
      </c>
      <c r="H471" s="184">
        <f t="shared" si="218"/>
        <v>299541241.94990182</v>
      </c>
      <c r="I471" s="184">
        <f t="shared" si="218"/>
        <v>301701047.38370585</v>
      </c>
      <c r="J471" s="184">
        <f t="shared" si="218"/>
        <v>304027570.75836587</v>
      </c>
      <c r="K471" s="184">
        <f t="shared" si="218"/>
        <v>306524973.31707776</v>
      </c>
    </row>
    <row r="472" spans="2:11">
      <c r="C472" s="175" t="s">
        <v>896</v>
      </c>
      <c r="D472" s="566">
        <f t="shared" ref="D472:K472" si="219">D451*$F$30</f>
        <v>204047.28451085015</v>
      </c>
      <c r="E472" s="566">
        <f t="shared" si="219"/>
        <v>401307.07102510775</v>
      </c>
      <c r="F472" s="566">
        <f t="shared" si="219"/>
        <v>394963.19138579356</v>
      </c>
      <c r="G472" s="566">
        <f t="shared" si="219"/>
        <v>387727.09525580663</v>
      </c>
      <c r="H472" s="566">
        <f t="shared" si="219"/>
        <v>380675.70995417051</v>
      </c>
      <c r="I472" s="566">
        <f t="shared" si="219"/>
        <v>373804.09156257095</v>
      </c>
      <c r="J472" s="566">
        <f t="shared" si="219"/>
        <v>367107.43199484213</v>
      </c>
      <c r="K472" s="566">
        <f t="shared" si="219"/>
        <v>360581.05519633408</v>
      </c>
    </row>
    <row r="473" spans="2:11">
      <c r="C473" s="175" t="s">
        <v>897</v>
      </c>
      <c r="D473" s="566">
        <f t="shared" ref="D473:K473" si="220">D$452*($F$46-$F$49)*AVERAGE($H$36:$H$38)</f>
        <v>340628.98136042885</v>
      </c>
      <c r="E473" s="566">
        <f t="shared" si="220"/>
        <v>1361405.6730510013</v>
      </c>
      <c r="F473" s="566">
        <f t="shared" si="220"/>
        <v>2042198.7882213329</v>
      </c>
      <c r="G473" s="566">
        <f t="shared" si="220"/>
        <v>2716159.3293209546</v>
      </c>
      <c r="H473" s="566">
        <f t="shared" si="220"/>
        <v>3387294.8741111169</v>
      </c>
      <c r="I473" s="566">
        <f t="shared" si="220"/>
        <v>4055943.3102825829</v>
      </c>
      <c r="J473" s="566">
        <f t="shared" si="220"/>
        <v>4722443.9161879774</v>
      </c>
      <c r="K473" s="566">
        <f t="shared" si="220"/>
        <v>5387137.7931049773</v>
      </c>
    </row>
    <row r="474" spans="2:11">
      <c r="C474" s="175" t="s">
        <v>1075</v>
      </c>
      <c r="D474" s="566">
        <f t="shared" ref="D474:K474" si="221">-(SUM(D463:D466)*$F$5)</f>
        <v>-148200.43079567025</v>
      </c>
      <c r="E474" s="566">
        <f t="shared" si="221"/>
        <v>-1193844.9797561837</v>
      </c>
      <c r="F474" s="566">
        <f t="shared" si="221"/>
        <v>-2404173.0262940112</v>
      </c>
      <c r="G474" s="566">
        <f t="shared" si="221"/>
        <v>-2420656.0930756554</v>
      </c>
      <c r="H474" s="566">
        <f t="shared" si="221"/>
        <v>-2437139.1598572987</v>
      </c>
      <c r="I474" s="566">
        <f t="shared" si="221"/>
        <v>-2453622.2266389425</v>
      </c>
      <c r="J474" s="566">
        <f t="shared" si="221"/>
        <v>-2470105.2934205853</v>
      </c>
      <c r="K474" s="566">
        <f t="shared" si="221"/>
        <v>-2486588.3602022296</v>
      </c>
    </row>
    <row r="475" spans="2:11">
      <c r="C475" s="175" t="s">
        <v>1062</v>
      </c>
      <c r="D475" s="566">
        <f t="shared" ref="D475:K475" si="222">SUM(D463:D466)*$F$6</f>
        <v>533300.7879159759</v>
      </c>
      <c r="E475" s="566">
        <f t="shared" si="222"/>
        <v>4296063.5467471657</v>
      </c>
      <c r="F475" s="566">
        <f t="shared" si="222"/>
        <v>8651441.5803330485</v>
      </c>
      <c r="G475" s="566">
        <f t="shared" si="222"/>
        <v>8710756.0671717711</v>
      </c>
      <c r="H475" s="566">
        <f t="shared" si="222"/>
        <v>8770070.5540104881</v>
      </c>
      <c r="I475" s="566">
        <f t="shared" si="222"/>
        <v>8829385.040849207</v>
      </c>
      <c r="J475" s="566">
        <f t="shared" si="222"/>
        <v>8888699.5276879221</v>
      </c>
      <c r="K475" s="566">
        <f t="shared" si="222"/>
        <v>8948014.0145266429</v>
      </c>
    </row>
    <row r="476" spans="2:11">
      <c r="B476" t="s">
        <v>837</v>
      </c>
      <c r="C476" s="768" t="s">
        <v>1109</v>
      </c>
      <c r="D476" s="182">
        <f t="shared" ref="D476:K476" si="223">D475+D474</f>
        <v>385100.35712030565</v>
      </c>
      <c r="E476" s="182">
        <f t="shared" si="223"/>
        <v>3102218.5669909818</v>
      </c>
      <c r="F476" s="182">
        <f t="shared" si="223"/>
        <v>6247268.5540390369</v>
      </c>
      <c r="G476" s="182">
        <f t="shared" si="223"/>
        <v>6290099.9740961157</v>
      </c>
      <c r="H476" s="182">
        <f t="shared" si="223"/>
        <v>6332931.3941531889</v>
      </c>
      <c r="I476" s="182">
        <f t="shared" si="223"/>
        <v>6375762.814210264</v>
      </c>
      <c r="J476" s="182">
        <f t="shared" si="223"/>
        <v>6418594.2342673372</v>
      </c>
      <c r="K476" s="182">
        <f t="shared" si="223"/>
        <v>6461425.6543244133</v>
      </c>
    </row>
    <row r="477" spans="2:11">
      <c r="C477" s="175" t="s">
        <v>1074</v>
      </c>
      <c r="D477" s="182">
        <f t="shared" ref="D477:K477" si="224">-SUM(D463:D466)*$F$7</f>
        <v>-94267.7324344894</v>
      </c>
      <c r="E477" s="182">
        <f t="shared" si="224"/>
        <v>-759384.15641368215</v>
      </c>
      <c r="F477" s="182">
        <f t="shared" si="224"/>
        <v>-1529252.9067028984</v>
      </c>
      <c r="G477" s="182">
        <f t="shared" si="224"/>
        <v>-1539737.5005784328</v>
      </c>
      <c r="H477" s="182">
        <f t="shared" si="224"/>
        <v>-1550222.0944539667</v>
      </c>
      <c r="I477" s="182">
        <f t="shared" si="224"/>
        <v>-1560706.6883295011</v>
      </c>
      <c r="J477" s="182">
        <f t="shared" si="224"/>
        <v>-1571191.2822050347</v>
      </c>
      <c r="K477" s="182">
        <f t="shared" si="224"/>
        <v>-1581675.8760805691</v>
      </c>
    </row>
    <row r="478" spans="2:11">
      <c r="C478" s="175" t="s">
        <v>1076</v>
      </c>
      <c r="D478" s="182">
        <f t="shared" ref="D478:K478" si="225">(SUM(D463:D466)*$F$8*D$61)+(SUM(D463:D466)*$F$9*(1-D$70))</f>
        <v>75466.923733471951</v>
      </c>
      <c r="E478" s="182">
        <f t="shared" si="225"/>
        <v>603403.70533802104</v>
      </c>
      <c r="F478" s="182">
        <f t="shared" si="225"/>
        <v>1204405.3753376901</v>
      </c>
      <c r="G478" s="182">
        <f t="shared" si="225"/>
        <v>1200298.1795873633</v>
      </c>
      <c r="H478" s="182">
        <f t="shared" si="225"/>
        <v>1194519.3882062708</v>
      </c>
      <c r="I478" s="182">
        <f t="shared" si="225"/>
        <v>1186736.3933926465</v>
      </c>
      <c r="J478" s="182">
        <f t="shared" si="225"/>
        <v>1176625.2106592078</v>
      </c>
      <c r="K478" s="182">
        <f t="shared" si="225"/>
        <v>1163870.4927333682</v>
      </c>
    </row>
    <row r="479" spans="2:11">
      <c r="B479" t="s">
        <v>838</v>
      </c>
      <c r="C479" s="768" t="s">
        <v>1110</v>
      </c>
      <c r="D479" s="182">
        <f t="shared" ref="D479:K479" si="226">D478+D477</f>
        <v>-18800.808701017449</v>
      </c>
      <c r="E479" s="182">
        <f t="shared" si="226"/>
        <v>-155980.45107566111</v>
      </c>
      <c r="F479" s="182">
        <f t="shared" si="226"/>
        <v>-324847.53136520833</v>
      </c>
      <c r="G479" s="182">
        <f t="shared" si="226"/>
        <v>-339439.32099106954</v>
      </c>
      <c r="H479" s="182">
        <f t="shared" si="226"/>
        <v>-355702.70624769595</v>
      </c>
      <c r="I479" s="182">
        <f t="shared" si="226"/>
        <v>-373970.29493685463</v>
      </c>
      <c r="J479" s="182">
        <f t="shared" si="226"/>
        <v>-394566.07154582697</v>
      </c>
      <c r="K479" s="182">
        <f t="shared" si="226"/>
        <v>-417805.38334720093</v>
      </c>
    </row>
    <row r="480" spans="2:11">
      <c r="C480" s="175" t="s">
        <v>1077</v>
      </c>
      <c r="D480" s="182">
        <f t="shared" ref="D480:K480" si="227">-SUM(D463:D466)*$F$10</f>
        <v>-29745.419735202988</v>
      </c>
      <c r="E480" s="182">
        <f t="shared" si="227"/>
        <v>-239617.52223631242</v>
      </c>
      <c r="F480" s="182">
        <f t="shared" si="227"/>
        <v>-482543.37318200187</v>
      </c>
      <c r="G480" s="182">
        <f t="shared" si="227"/>
        <v>-485851.70189137914</v>
      </c>
      <c r="H480" s="182">
        <f t="shared" si="227"/>
        <v>-489160.03060075617</v>
      </c>
      <c r="I480" s="182">
        <f t="shared" si="227"/>
        <v>-492468.35931013332</v>
      </c>
      <c r="J480" s="182">
        <f t="shared" si="227"/>
        <v>-495776.6880195103</v>
      </c>
      <c r="K480" s="182">
        <f t="shared" si="227"/>
        <v>-499085.01672888757</v>
      </c>
    </row>
    <row r="481" spans="2:12">
      <c r="C481" s="175" t="s">
        <v>1078</v>
      </c>
      <c r="D481" s="182">
        <f t="shared" ref="D481:K481" si="228">(SUM(D463:D466)*$F$11*D$61)+(SUM(D463:D466)*$F$13*(1-D$70))</f>
        <v>48255.75800406051</v>
      </c>
      <c r="E481" s="182">
        <f t="shared" si="228"/>
        <v>388637.88463976205</v>
      </c>
      <c r="F481" s="182">
        <f t="shared" si="228"/>
        <v>782424.19641025842</v>
      </c>
      <c r="G481" s="182">
        <f t="shared" si="228"/>
        <v>787538.0880683685</v>
      </c>
      <c r="H481" s="182">
        <f t="shared" si="228"/>
        <v>792618.12405827222</v>
      </c>
      <c r="I481" s="182">
        <f t="shared" si="228"/>
        <v>797657.56790664396</v>
      </c>
      <c r="J481" s="182">
        <f t="shared" si="228"/>
        <v>802649.85779248783</v>
      </c>
      <c r="K481" s="182">
        <f t="shared" si="228"/>
        <v>807588.60682866885</v>
      </c>
    </row>
    <row r="482" spans="2:12">
      <c r="B482" t="s">
        <v>839</v>
      </c>
      <c r="C482" s="768" t="s">
        <v>1111</v>
      </c>
      <c r="D482" s="182">
        <f t="shared" ref="D482:K482" si="229">D481+D480</f>
        <v>18510.338268857522</v>
      </c>
      <c r="E482" s="182">
        <f t="shared" si="229"/>
        <v>149020.36240344963</v>
      </c>
      <c r="F482" s="182">
        <f t="shared" si="229"/>
        <v>299880.82322825654</v>
      </c>
      <c r="G482" s="182">
        <f t="shared" si="229"/>
        <v>301686.38617698936</v>
      </c>
      <c r="H482" s="182">
        <f t="shared" si="229"/>
        <v>303458.09345751605</v>
      </c>
      <c r="I482" s="182">
        <f t="shared" si="229"/>
        <v>305189.20859651064</v>
      </c>
      <c r="J482" s="182">
        <f t="shared" si="229"/>
        <v>306873.16977297753</v>
      </c>
      <c r="K482" s="182">
        <f t="shared" si="229"/>
        <v>308503.59009978129</v>
      </c>
    </row>
    <row r="483" spans="2:12">
      <c r="C483" s="175" t="s">
        <v>1081</v>
      </c>
      <c r="D483" s="683">
        <f t="shared" ref="D483:K483" si="230">-SUM(D463:D466)*$F$14</f>
        <v>-139937.07233252728</v>
      </c>
      <c r="E483" s="683">
        <f t="shared" si="230"/>
        <v>-1127278.5806965851</v>
      </c>
      <c r="F483" s="683">
        <f t="shared" si="230"/>
        <v>-2270121.1654659039</v>
      </c>
      <c r="G483" s="683">
        <f t="shared" si="230"/>
        <v>-2285685.1695386386</v>
      </c>
      <c r="H483" s="683">
        <f t="shared" si="230"/>
        <v>-2301249.1736113727</v>
      </c>
      <c r="I483" s="683">
        <f t="shared" si="230"/>
        <v>-2316813.1776841069</v>
      </c>
      <c r="J483" s="683">
        <f t="shared" si="230"/>
        <v>-2332377.1817568401</v>
      </c>
      <c r="K483" s="683">
        <f t="shared" si="230"/>
        <v>-2347941.1858295747</v>
      </c>
    </row>
    <row r="484" spans="2:12">
      <c r="C484" s="175" t="s">
        <v>1082</v>
      </c>
      <c r="D484" s="190">
        <f t="shared" ref="D484:K484" si="231">(SUM(D463:D466)*$F$15*D$61)+(SUM(D463:D466)*$F$17*(1-D$70))</f>
        <v>340277.6555604802</v>
      </c>
      <c r="E484" s="190">
        <f t="shared" si="231"/>
        <v>2720784.0491635273</v>
      </c>
      <c r="F484" s="190">
        <f t="shared" si="231"/>
        <v>5430876.529969383</v>
      </c>
      <c r="G484" s="190">
        <f t="shared" si="231"/>
        <v>5412518.428856873</v>
      </c>
      <c r="H484" s="190">
        <f t="shared" si="231"/>
        <v>5386644.7048351597</v>
      </c>
      <c r="I484" s="190">
        <f t="shared" si="231"/>
        <v>5351759.9275688631</v>
      </c>
      <c r="J484" s="190">
        <f t="shared" si="231"/>
        <v>5306407.4378097607</v>
      </c>
      <c r="K484" s="190">
        <f t="shared" si="231"/>
        <v>5249169.4098932054</v>
      </c>
    </row>
    <row r="485" spans="2:12">
      <c r="B485" t="s">
        <v>840</v>
      </c>
      <c r="C485" s="769" t="s">
        <v>1112</v>
      </c>
      <c r="D485" s="184">
        <f t="shared" ref="D485:K485" si="232">D484+D483</f>
        <v>200340.58322795291</v>
      </c>
      <c r="E485" s="184">
        <f t="shared" si="232"/>
        <v>1593505.4684669422</v>
      </c>
      <c r="F485" s="184">
        <f t="shared" si="232"/>
        <v>3160755.3645034791</v>
      </c>
      <c r="G485" s="184">
        <f t="shared" si="232"/>
        <v>3126833.2593182344</v>
      </c>
      <c r="H485" s="184">
        <f t="shared" si="232"/>
        <v>3085395.531223787</v>
      </c>
      <c r="I485" s="184">
        <f t="shared" si="232"/>
        <v>3034946.7498847563</v>
      </c>
      <c r="J485" s="184">
        <f t="shared" si="232"/>
        <v>2974030.2560529206</v>
      </c>
      <c r="K485" s="184">
        <f t="shared" si="232"/>
        <v>2901228.2240636307</v>
      </c>
    </row>
    <row r="486" spans="2:12">
      <c r="C486" s="758"/>
      <c r="D486" s="759"/>
      <c r="E486" s="759"/>
      <c r="F486" s="759"/>
      <c r="G486" s="759"/>
      <c r="H486" s="759"/>
      <c r="I486" s="759"/>
      <c r="J486" s="759"/>
      <c r="K486" s="46"/>
    </row>
    <row r="487" spans="2:12">
      <c r="C487" s="178" t="s">
        <v>530</v>
      </c>
      <c r="D487" s="179">
        <v>2026</v>
      </c>
      <c r="E487" s="179">
        <v>2027</v>
      </c>
      <c r="F487" s="179">
        <v>2028</v>
      </c>
      <c r="G487" s="179">
        <v>2029</v>
      </c>
      <c r="H487" s="179">
        <v>2030</v>
      </c>
      <c r="I487" s="179">
        <v>2031</v>
      </c>
      <c r="J487" s="179">
        <v>2032</v>
      </c>
      <c r="K487" s="180">
        <v>2033</v>
      </c>
      <c r="L487" s="765" t="s">
        <v>203</v>
      </c>
    </row>
    <row r="488" spans="2:12">
      <c r="C488" s="174" t="s">
        <v>416</v>
      </c>
      <c r="D488" s="184">
        <f t="shared" ref="D488:K488" si="233">D471-D129</f>
        <v>97601.250838577747</v>
      </c>
      <c r="E488" s="184">
        <f t="shared" si="233"/>
        <v>790617.38208532333</v>
      </c>
      <c r="F488" s="184">
        <f t="shared" si="233"/>
        <v>1601497.9441595078</v>
      </c>
      <c r="G488" s="184">
        <f t="shared" si="233"/>
        <v>1622431.3668842912</v>
      </c>
      <c r="H488" s="184">
        <f t="shared" si="233"/>
        <v>1644056.8074793816</v>
      </c>
      <c r="I488" s="184">
        <f t="shared" si="233"/>
        <v>1666395.9556183815</v>
      </c>
      <c r="J488" s="184">
        <f t="shared" si="233"/>
        <v>1689470.3649708033</v>
      </c>
      <c r="K488" s="184">
        <f t="shared" si="233"/>
        <v>1713301.3990677595</v>
      </c>
      <c r="L488" s="682">
        <f>SUM(D488:K488)</f>
        <v>10825372.471104026</v>
      </c>
    </row>
    <row r="489" spans="2:12">
      <c r="C489" s="175" t="s">
        <v>875</v>
      </c>
      <c r="D489" s="182">
        <f>D472</f>
        <v>204047.28451085015</v>
      </c>
      <c r="E489" s="182">
        <f t="shared" ref="E489:K489" si="234">E472</f>
        <v>401307.07102510775</v>
      </c>
      <c r="F489" s="182">
        <f t="shared" si="234"/>
        <v>394963.19138579356</v>
      </c>
      <c r="G489" s="182">
        <f t="shared" si="234"/>
        <v>387727.09525580663</v>
      </c>
      <c r="H489" s="182">
        <f t="shared" si="234"/>
        <v>380675.70995417051</v>
      </c>
      <c r="I489" s="182">
        <f t="shared" si="234"/>
        <v>373804.09156257095</v>
      </c>
      <c r="J489" s="182">
        <f t="shared" si="234"/>
        <v>367107.43199484213</v>
      </c>
      <c r="K489" s="182">
        <f t="shared" si="234"/>
        <v>360581.05519633408</v>
      </c>
      <c r="L489" s="682">
        <f t="shared" ref="L489:L495" si="235">SUM(D489:K489)</f>
        <v>2870212.9308854756</v>
      </c>
    </row>
    <row r="490" spans="2:12">
      <c r="C490" s="175" t="s">
        <v>880</v>
      </c>
      <c r="D490" s="182">
        <f>D473</f>
        <v>340628.98136042885</v>
      </c>
      <c r="E490" s="182">
        <f t="shared" ref="E490:K490" si="236">E473</f>
        <v>1361405.6730510013</v>
      </c>
      <c r="F490" s="182">
        <f t="shared" si="236"/>
        <v>2042198.7882213329</v>
      </c>
      <c r="G490" s="182">
        <f t="shared" si="236"/>
        <v>2716159.3293209546</v>
      </c>
      <c r="H490" s="182">
        <f t="shared" si="236"/>
        <v>3387294.8741111169</v>
      </c>
      <c r="I490" s="182">
        <f t="shared" si="236"/>
        <v>4055943.3102825829</v>
      </c>
      <c r="J490" s="182">
        <f t="shared" si="236"/>
        <v>4722443.9161879774</v>
      </c>
      <c r="K490" s="182">
        <f t="shared" si="236"/>
        <v>5387137.7931049773</v>
      </c>
      <c r="L490" s="682">
        <f t="shared" si="235"/>
        <v>24013212.665640369</v>
      </c>
    </row>
    <row r="491" spans="2:12">
      <c r="C491" s="175" t="s">
        <v>417</v>
      </c>
      <c r="D491" s="182">
        <f>D476</f>
        <v>385100.35712030565</v>
      </c>
      <c r="E491" s="182">
        <f t="shared" ref="E491:K491" si="237">E476</f>
        <v>3102218.5669909818</v>
      </c>
      <c r="F491" s="182">
        <f t="shared" si="237"/>
        <v>6247268.5540390369</v>
      </c>
      <c r="G491" s="182">
        <f t="shared" si="237"/>
        <v>6290099.9740961157</v>
      </c>
      <c r="H491" s="182">
        <f t="shared" si="237"/>
        <v>6332931.3941531889</v>
      </c>
      <c r="I491" s="182">
        <f t="shared" si="237"/>
        <v>6375762.814210264</v>
      </c>
      <c r="J491" s="182">
        <f t="shared" si="237"/>
        <v>6418594.2342673372</v>
      </c>
      <c r="K491" s="182">
        <f t="shared" si="237"/>
        <v>6461425.6543244133</v>
      </c>
      <c r="L491" s="682">
        <f t="shared" si="235"/>
        <v>41613401.549201645</v>
      </c>
    </row>
    <row r="492" spans="2:12">
      <c r="C492" s="175" t="s">
        <v>418</v>
      </c>
      <c r="D492" s="182">
        <f>D479</f>
        <v>-18800.808701017449</v>
      </c>
      <c r="E492" s="182">
        <f t="shared" ref="E492:K492" si="238">E479</f>
        <v>-155980.45107566111</v>
      </c>
      <c r="F492" s="182">
        <f t="shared" si="238"/>
        <v>-324847.53136520833</v>
      </c>
      <c r="G492" s="182">
        <f t="shared" si="238"/>
        <v>-339439.32099106954</v>
      </c>
      <c r="H492" s="182">
        <f t="shared" si="238"/>
        <v>-355702.70624769595</v>
      </c>
      <c r="I492" s="182">
        <f t="shared" si="238"/>
        <v>-373970.29493685463</v>
      </c>
      <c r="J492" s="182">
        <f t="shared" si="238"/>
        <v>-394566.07154582697</v>
      </c>
      <c r="K492" s="182">
        <f t="shared" si="238"/>
        <v>-417805.38334720093</v>
      </c>
      <c r="L492" s="682">
        <f t="shared" si="235"/>
        <v>-2381112.5682105348</v>
      </c>
    </row>
    <row r="493" spans="2:12">
      <c r="C493" s="175" t="s">
        <v>419</v>
      </c>
      <c r="D493" s="182">
        <f>D482</f>
        <v>18510.338268857522</v>
      </c>
      <c r="E493" s="182">
        <f t="shared" ref="E493:K493" si="239">E482</f>
        <v>149020.36240344963</v>
      </c>
      <c r="F493" s="182">
        <f t="shared" si="239"/>
        <v>299880.82322825654</v>
      </c>
      <c r="G493" s="182">
        <f t="shared" si="239"/>
        <v>301686.38617698936</v>
      </c>
      <c r="H493" s="182">
        <f t="shared" si="239"/>
        <v>303458.09345751605</v>
      </c>
      <c r="I493" s="182">
        <f t="shared" si="239"/>
        <v>305189.20859651064</v>
      </c>
      <c r="J493" s="182">
        <f t="shared" si="239"/>
        <v>306873.16977297753</v>
      </c>
      <c r="K493" s="182">
        <f t="shared" si="239"/>
        <v>308503.59009978129</v>
      </c>
      <c r="L493" s="682">
        <f t="shared" si="235"/>
        <v>1993121.9720043384</v>
      </c>
    </row>
    <row r="494" spans="2:12">
      <c r="C494" s="176" t="s">
        <v>420</v>
      </c>
      <c r="D494" s="183">
        <f>D485</f>
        <v>200340.58322795291</v>
      </c>
      <c r="E494" s="183">
        <f t="shared" ref="E494:K494" si="240">E485</f>
        <v>1593505.4684669422</v>
      </c>
      <c r="F494" s="183">
        <f t="shared" si="240"/>
        <v>3160755.3645034791</v>
      </c>
      <c r="G494" s="183">
        <f t="shared" si="240"/>
        <v>3126833.2593182344</v>
      </c>
      <c r="H494" s="183">
        <f t="shared" si="240"/>
        <v>3085395.531223787</v>
      </c>
      <c r="I494" s="183">
        <f t="shared" si="240"/>
        <v>3034946.7498847563</v>
      </c>
      <c r="J494" s="183">
        <f t="shared" si="240"/>
        <v>2974030.2560529206</v>
      </c>
      <c r="K494" s="183">
        <f t="shared" si="240"/>
        <v>2901228.2240636307</v>
      </c>
      <c r="L494" s="764">
        <f t="shared" si="235"/>
        <v>20077035.436741706</v>
      </c>
    </row>
    <row r="495" spans="2:12">
      <c r="C495" s="544" t="s">
        <v>203</v>
      </c>
      <c r="D495" s="762">
        <f>SUM(D488:D494)</f>
        <v>1227427.9866259554</v>
      </c>
      <c r="E495" s="762">
        <f t="shared" ref="E495:K495" si="241">SUM(E488:E494)</f>
        <v>7242094.0729471454</v>
      </c>
      <c r="F495" s="762">
        <f t="shared" si="241"/>
        <v>13421717.134172197</v>
      </c>
      <c r="G495" s="762">
        <f t="shared" si="241"/>
        <v>14105498.090061322</v>
      </c>
      <c r="H495" s="762">
        <f t="shared" si="241"/>
        <v>14778109.704131465</v>
      </c>
      <c r="I495" s="762">
        <f t="shared" si="241"/>
        <v>15438071.835218212</v>
      </c>
      <c r="J495" s="762">
        <f t="shared" si="241"/>
        <v>16083953.301701032</v>
      </c>
      <c r="K495" s="762">
        <f t="shared" si="241"/>
        <v>16714372.332509698</v>
      </c>
      <c r="L495" s="763">
        <f t="shared" si="235"/>
        <v>99011244.457367033</v>
      </c>
    </row>
  </sheetData>
  <phoneticPr fontId="70" type="noConversion"/>
  <hyperlinks>
    <hyperlink ref="J4" r:id="rId1"/>
    <hyperlink ref="J5" r:id="rId2"/>
    <hyperlink ref="J6" r:id="rId3" display="https://www.google.com/url?sa=t&amp;rct=j&amp;q=&amp;esrc=s&amp;source=web&amp;cd=&amp;ved=2ahUKEwjC7_r3k4WEAxUi0wIHHT3MBh8QFnoECBsQAQ&amp;url=https%3A%2F%2Fec.europa.eu%2Finfo%2Ffunding-tenders%2Fopportunities%2Fdocs%2F2021-2027%2Fcef%2Ftemp-form%2Faf%2Fsimplified-cba-calculator_cef-t_en.xlsm&amp;usg=AOvVaw1cveIUiZGykbWgnGcNrhl5&amp;opi=89978449"/>
    <hyperlink ref="J7" r:id="rId4"/>
  </hyperlinks>
  <pageMargins left="0.25" right="0.25" top="0.75" bottom="0.75" header="0.3" footer="0.3"/>
  <pageSetup paperSize="9" scale="10" orientation="landscape" horizontalDpi="1200" verticalDpi="1200" r:id="rId5"/>
  <legacyDrawing r:id="rId6"/>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sheetPr>
  <dimension ref="A2:T215"/>
  <sheetViews>
    <sheetView workbookViewId="0">
      <pane xSplit="2" ySplit="2" topLeftCell="C99" activePane="bottomRight" state="frozen"/>
      <selection pane="topRight" activeCell="C1" sqref="C1"/>
      <selection pane="bottomLeft" activeCell="A3" sqref="A3"/>
      <selection pane="bottomRight" activeCell="F1" sqref="F1:F1048576"/>
    </sheetView>
  </sheetViews>
  <sheetFormatPr defaultColWidth="8.85546875" defaultRowHeight="12" outlineLevelRow="1"/>
  <cols>
    <col min="1" max="1" width="3.28515625" style="22" bestFit="1" customWidth="1"/>
    <col min="2" max="2" width="26.5703125" style="22" bestFit="1" customWidth="1"/>
    <col min="3" max="8" width="11.42578125" style="22" customWidth="1"/>
    <col min="9" max="9" width="14.85546875" style="22" customWidth="1"/>
    <col min="10" max="16" width="11.42578125" style="22" customWidth="1"/>
    <col min="17" max="20" width="12" style="22" bestFit="1" customWidth="1"/>
    <col min="21" max="16384" width="8.85546875" style="22"/>
  </cols>
  <sheetData>
    <row r="2" spans="1:20">
      <c r="A2" s="22" t="s">
        <v>12</v>
      </c>
      <c r="B2" s="22" t="s">
        <v>264</v>
      </c>
      <c r="C2" s="22">
        <v>2016</v>
      </c>
      <c r="D2" s="22">
        <v>2017</v>
      </c>
      <c r="E2" s="22">
        <v>2018</v>
      </c>
      <c r="F2" s="22">
        <v>2019</v>
      </c>
      <c r="G2" s="22">
        <v>2020</v>
      </c>
      <c r="H2" s="22">
        <v>2021</v>
      </c>
      <c r="I2" s="22">
        <v>2022</v>
      </c>
      <c r="J2" s="22">
        <v>2023</v>
      </c>
      <c r="K2" s="22">
        <v>2024</v>
      </c>
      <c r="L2" s="22">
        <v>2025</v>
      </c>
      <c r="M2" s="22">
        <v>2026</v>
      </c>
      <c r="N2" s="22">
        <v>2027</v>
      </c>
      <c r="O2" s="22">
        <v>2028</v>
      </c>
      <c r="P2" s="22">
        <v>2029</v>
      </c>
      <c r="Q2" s="22">
        <v>2030</v>
      </c>
      <c r="R2" s="22">
        <v>2031</v>
      </c>
      <c r="S2" s="22">
        <v>2032</v>
      </c>
      <c r="T2" s="22">
        <v>2033</v>
      </c>
    </row>
    <row r="3" spans="1:20">
      <c r="B3" s="58" t="s">
        <v>266</v>
      </c>
      <c r="C3" s="509">
        <f>'DM_09_MHD počet cest.'!K6</f>
        <v>377345000</v>
      </c>
      <c r="D3" s="509">
        <f>'DM_09_MHD počet cest.'!L6</f>
        <v>373101000</v>
      </c>
      <c r="E3" s="509">
        <f>'DM_09_MHD počet cest.'!M6</f>
        <v>374849000</v>
      </c>
      <c r="F3" s="509">
        <f>'DM_09_MHD počet cest.'!N6</f>
        <v>382662000</v>
      </c>
      <c r="G3" s="509">
        <f>'DM_09_MHD počet cest.'!O6</f>
        <v>283913000</v>
      </c>
      <c r="H3" s="509">
        <f>'DM_09_MHD počet cest.'!P6</f>
        <v>259459000</v>
      </c>
      <c r="I3" s="509">
        <f>'DM_09_MHD počet cest.'!Q6</f>
        <v>373186000</v>
      </c>
      <c r="J3" s="510">
        <f>'DM_09_MHD počet cest.'!R6</f>
        <v>407368851.83643985</v>
      </c>
      <c r="K3" s="510">
        <f>'DM_09_MHD počet cest.'!U6</f>
        <v>406989165.69729435</v>
      </c>
      <c r="L3" s="510">
        <f>'DM_09_MHD počet cest.'!V6</f>
        <v>406609833.44275147</v>
      </c>
      <c r="M3" s="510">
        <f>'DM_09_MHD počet cest.'!W6</f>
        <v>406230854.74297482</v>
      </c>
      <c r="N3" s="510">
        <f>'DM_09_MHD počet cest.'!X6</f>
        <v>405852229.26843542</v>
      </c>
      <c r="O3" s="510">
        <f>'DM_09_MHD počet cest.'!Y6</f>
        <v>405473956.68991143</v>
      </c>
      <c r="P3" s="510">
        <f>'DM_09_MHD počet cest.'!Z6</f>
        <v>405096036.67848784</v>
      </c>
      <c r="Q3" s="510">
        <f>'DM_09_MHD počet cest.'!AA6</f>
        <v>404718468.9055562</v>
      </c>
      <c r="R3" s="510">
        <f>'DM_09_MHD počet cest.'!AB6</f>
        <v>404341253.04281437</v>
      </c>
      <c r="S3" s="510">
        <f>'DM_09_MHD počet cest.'!AC6</f>
        <v>403964388.76226616</v>
      </c>
      <c r="T3" s="510">
        <f>'DM_09_MHD počet cest.'!AD6</f>
        <v>403587875.73622113</v>
      </c>
    </row>
    <row r="4" spans="1:20">
      <c r="B4" s="22" t="s">
        <v>267</v>
      </c>
    </row>
    <row r="5" spans="1:20">
      <c r="B5" s="22" t="s">
        <v>268</v>
      </c>
    </row>
    <row r="6" spans="1:20">
      <c r="B6" s="58" t="s">
        <v>269</v>
      </c>
      <c r="C6" s="509">
        <f>'DM_10_MHD výkony'!K6</f>
        <v>1197000000</v>
      </c>
      <c r="D6" s="509">
        <f>'DM_10_MHD výkony'!L6</f>
        <v>1289000000</v>
      </c>
      <c r="E6" s="509">
        <f>'DM_10_MHD výkony'!M6</f>
        <v>1299000000</v>
      </c>
      <c r="F6" s="509">
        <f>'DM_10_MHD výkony'!N6</f>
        <v>1327000000</v>
      </c>
      <c r="G6" s="509">
        <f>'DM_10_MHD výkony'!O6</f>
        <v>981000000</v>
      </c>
      <c r="H6" s="509">
        <f>'DM_10_MHD výkony'!P6</f>
        <v>931000000</v>
      </c>
      <c r="I6" s="509">
        <f>'DM_10_MHD výkony'!Q6</f>
        <v>1552000000</v>
      </c>
      <c r="J6" s="510">
        <f>'DM_10_MHD výkony'!R6</f>
        <v>1658687953.0607097</v>
      </c>
      <c r="K6" s="510">
        <f>'DM_10_MHD výkony'!U6</f>
        <v>1686986377.5303781</v>
      </c>
      <c r="L6" s="510">
        <f>'DM_10_MHD výkony'!V6</f>
        <v>1715767593.730696</v>
      </c>
      <c r="M6" s="510">
        <f>'DM_10_MHD výkony'!W6</f>
        <v>1745039838.440196</v>
      </c>
      <c r="N6" s="510">
        <f>'DM_10_MHD výkony'!X6</f>
        <v>1774811488.9628515</v>
      </c>
      <c r="O6" s="510">
        <f>'DM_10_MHD výkony'!Y6</f>
        <v>1805091065.5255425</v>
      </c>
      <c r="P6" s="510">
        <f>'DM_10_MHD výkony'!Z6</f>
        <v>1835887233.7164247</v>
      </c>
      <c r="Q6" s="510">
        <f>'DM_10_MHD výkony'!AA6</f>
        <v>1867208806.9648988</v>
      </c>
      <c r="R6" s="510">
        <f>'DM_10_MHD výkony'!AB6</f>
        <v>1899064749.0638897</v>
      </c>
      <c r="S6" s="510">
        <f>'DM_10_MHD výkony'!AC6</f>
        <v>1931464176.735158</v>
      </c>
      <c r="T6" s="510">
        <f>'DM_10_MHD výkony'!AD6</f>
        <v>1964416362.2383764</v>
      </c>
    </row>
    <row r="7" spans="1:20">
      <c r="B7" s="58" t="s">
        <v>270</v>
      </c>
      <c r="C7" s="510">
        <f>'DM_13_MHD tržby'!D6</f>
        <v>86187763.10514231</v>
      </c>
      <c r="D7" s="510">
        <f>'DM_13_MHD tržby'!E6</f>
        <v>85218409.154200271</v>
      </c>
      <c r="E7" s="510">
        <f>'DM_13_MHD tržby'!F6</f>
        <v>85617662.383758873</v>
      </c>
      <c r="F7" s="510">
        <f>'DM_13_MHD tržby'!G6</f>
        <v>87402196.412672669</v>
      </c>
      <c r="G7" s="510">
        <f>'DM_13_MHD tržby'!H6</f>
        <v>64847358.217202477</v>
      </c>
      <c r="H7" s="510">
        <f>'DM_13_MHD tržby'!I6</f>
        <v>59261924.30666133</v>
      </c>
      <c r="I7" s="510">
        <f>'DM_13_MHD tržby'!J6</f>
        <v>85237823.641907647</v>
      </c>
      <c r="J7" s="510">
        <f>'DM_13_MHD tržby'!K6</f>
        <v>93045383.13345319</v>
      </c>
      <c r="K7" s="510">
        <f>'DM_13_MHD tržby'!N6</f>
        <v>92113362.51021637</v>
      </c>
      <c r="L7" s="510">
        <f>'DM_13_MHD tržby'!O6</f>
        <v>91190677.787514165</v>
      </c>
      <c r="M7" s="510">
        <f>'DM_13_MHD tržby'!P6</f>
        <v>90277235.449133918</v>
      </c>
      <c r="N7" s="510">
        <f>'DM_13_MHD tržby'!Q6</f>
        <v>89372942.915599838</v>
      </c>
      <c r="O7" s="510">
        <f>'DM_13_MHD tržby'!R6</f>
        <v>88477708.53478983</v>
      </c>
      <c r="P7" s="510">
        <f>'DM_13_MHD tržby'!S6</f>
        <v>87591441.572646365</v>
      </c>
      <c r="Q7" s="510">
        <f>'DM_13_MHD tržby'!T6</f>
        <v>86714052.203980327</v>
      </c>
      <c r="R7" s="510">
        <f>'DM_13_MHD tržby'!U6</f>
        <v>85845451.503367096</v>
      </c>
      <c r="S7" s="510">
        <f>'DM_13_MHD tržby'!V6</f>
        <v>84985551.436133683</v>
      </c>
      <c r="T7" s="510">
        <f>'DM_13_MHD tržby'!W6</f>
        <v>84134264.849436268</v>
      </c>
    </row>
    <row r="8" spans="1:20">
      <c r="B8" s="22" t="s">
        <v>882</v>
      </c>
      <c r="C8" s="463">
        <f>C7/C3</f>
        <v>0.22840573773375111</v>
      </c>
      <c r="D8" s="463">
        <f t="shared" ref="D8:T8" si="0">D7/D3</f>
        <v>0.22840573773375111</v>
      </c>
      <c r="E8" s="463">
        <f t="shared" si="0"/>
        <v>0.22840573773375111</v>
      </c>
      <c r="F8" s="463">
        <f t="shared" si="0"/>
        <v>0.22840573773375111</v>
      </c>
      <c r="G8" s="463">
        <f t="shared" si="0"/>
        <v>0.22840573773375111</v>
      </c>
      <c r="H8" s="463">
        <f t="shared" si="0"/>
        <v>0.22840573773375111</v>
      </c>
      <c r="I8" s="463">
        <f t="shared" si="0"/>
        <v>0.22840573773375111</v>
      </c>
      <c r="J8" s="463">
        <f t="shared" si="0"/>
        <v>0.22840573773375111</v>
      </c>
      <c r="K8" s="463">
        <f t="shared" si="0"/>
        <v>0.22632878286182037</v>
      </c>
      <c r="L8" s="463">
        <f t="shared" si="0"/>
        <v>0.22427071429976456</v>
      </c>
      <c r="M8" s="463">
        <f t="shared" si="0"/>
        <v>0.2222313603092827</v>
      </c>
      <c r="N8" s="463">
        <f t="shared" si="0"/>
        <v>0.22021055071373657</v>
      </c>
      <c r="O8" s="463">
        <f t="shared" si="0"/>
        <v>0.21820811688394989</v>
      </c>
      <c r="P8" s="463">
        <f t="shared" si="0"/>
        <v>0.21622389172413695</v>
      </c>
      <c r="Q8" s="463">
        <f t="shared" si="0"/>
        <v>0.2142577096579589</v>
      </c>
      <c r="R8" s="463">
        <f t="shared" si="0"/>
        <v>0.21230940661470721</v>
      </c>
      <c r="S8" s="463">
        <f t="shared" si="0"/>
        <v>0.21037882001561242</v>
      </c>
      <c r="T8" s="463">
        <f t="shared" si="0"/>
        <v>0.20846578876027766</v>
      </c>
    </row>
    <row r="9" spans="1:20">
      <c r="B9" s="22" t="s">
        <v>1032</v>
      </c>
      <c r="C9" s="529">
        <f>C6/C3</f>
        <v>3.1721634048417231</v>
      </c>
      <c r="D9" s="529">
        <f t="shared" ref="D9:T9" si="1">D6/D3</f>
        <v>3.454828585289238</v>
      </c>
      <c r="E9" s="529">
        <f t="shared" si="1"/>
        <v>3.4653953992140836</v>
      </c>
      <c r="F9" s="529">
        <f t="shared" si="1"/>
        <v>3.467812325237416</v>
      </c>
      <c r="G9" s="529">
        <f t="shared" si="1"/>
        <v>3.4552838369500516</v>
      </c>
      <c r="H9" s="529">
        <f t="shared" si="1"/>
        <v>3.5882355208337349</v>
      </c>
      <c r="I9" s="529">
        <f t="shared" si="1"/>
        <v>4.1587840915789984</v>
      </c>
      <c r="J9" s="529">
        <f t="shared" si="1"/>
        <v>4.0717103077058017</v>
      </c>
      <c r="K9" s="529">
        <f t="shared" si="1"/>
        <v>4.1450400151071962</v>
      </c>
      <c r="L9" s="529">
        <f t="shared" si="1"/>
        <v>4.2196903582074015</v>
      </c>
      <c r="M9" s="529">
        <f t="shared" si="1"/>
        <v>4.2956851210730784</v>
      </c>
      <c r="N9" s="529">
        <f t="shared" si="1"/>
        <v>4.3730485161114405</v>
      </c>
      <c r="O9" s="529">
        <f t="shared" si="1"/>
        <v>4.4518051917844783</v>
      </c>
      <c r="P9" s="529">
        <f t="shared" si="1"/>
        <v>4.5319802404621194</v>
      </c>
      <c r="Q9" s="529">
        <f t="shared" si="1"/>
        <v>4.6135992064168061</v>
      </c>
      <c r="R9" s="529">
        <f t="shared" si="1"/>
        <v>4.6966880939620674</v>
      </c>
      <c r="S9" s="529">
        <f t="shared" si="1"/>
        <v>4.7812733757376531</v>
      </c>
      <c r="T9" s="529">
        <f t="shared" si="1"/>
        <v>4.8673820011438815</v>
      </c>
    </row>
    <row r="10" spans="1:20">
      <c r="C10" s="529"/>
      <c r="D10" s="529"/>
      <c r="E10" s="529"/>
      <c r="F10" s="529"/>
      <c r="G10" s="529"/>
      <c r="H10" s="529"/>
      <c r="I10" s="529"/>
      <c r="J10" s="529"/>
      <c r="K10" s="529"/>
      <c r="L10" s="529"/>
      <c r="M10" s="529"/>
      <c r="N10" s="529"/>
      <c r="O10" s="529"/>
      <c r="P10" s="529"/>
      <c r="Q10" s="529"/>
      <c r="R10" s="529"/>
      <c r="S10" s="529"/>
      <c r="T10" s="529"/>
    </row>
    <row r="11" spans="1:20">
      <c r="B11" s="22" t="s">
        <v>1038</v>
      </c>
      <c r="C11" s="529"/>
      <c r="D11" s="529"/>
      <c r="E11" s="529"/>
      <c r="F11" s="529"/>
      <c r="G11" s="529"/>
      <c r="H11" s="529"/>
      <c r="I11" s="529"/>
      <c r="J11" s="529"/>
      <c r="K11" s="529"/>
      <c r="L11" s="529"/>
      <c r="M11" s="529"/>
      <c r="N11" s="529"/>
      <c r="O11" s="529"/>
      <c r="P11" s="529"/>
      <c r="Q11" s="529"/>
      <c r="R11" s="529"/>
      <c r="S11" s="529"/>
      <c r="T11" s="529"/>
    </row>
    <row r="12" spans="1:20">
      <c r="B12" s="22" t="s">
        <v>1036</v>
      </c>
      <c r="C12" s="563">
        <f>'Počty obyvateľov'!J210</f>
        <v>0.40774846268852261</v>
      </c>
      <c r="D12" s="563">
        <f>'Počty obyvateľov'!K210</f>
        <v>0.40931897585253518</v>
      </c>
      <c r="E12" s="563">
        <f>'Počty obyvateľov'!L210</f>
        <v>0.41081995178245978</v>
      </c>
      <c r="F12" s="563">
        <f>'Počty obyvateľov'!M210</f>
        <v>0.4125587353661494</v>
      </c>
      <c r="G12" s="563">
        <f>'Počty obyvateľov'!N210</f>
        <v>0.41403904764573657</v>
      </c>
      <c r="H12" s="563">
        <f>'Počty obyvateľov'!O210</f>
        <v>0.42712097194800186</v>
      </c>
      <c r="I12" s="563">
        <f>'Počty obyvateľov'!P210</f>
        <v>0.42844965992853579</v>
      </c>
      <c r="J12" s="563">
        <f>'Počty obyvateľov'!R210</f>
        <v>0.43118157084126735</v>
      </c>
      <c r="K12" s="563">
        <f>'Počty obyvateľov'!S210</f>
        <v>0.43394119385672564</v>
      </c>
      <c r="L12" s="563">
        <f>'Počty obyvateľov'!T210</f>
        <v>0.43672832057255878</v>
      </c>
      <c r="M12" s="563">
        <f>'Počty obyvateľov'!U210</f>
        <v>0.43954272685243934</v>
      </c>
      <c r="N12" s="563">
        <f>'Počty obyvateľov'!V210</f>
        <v>0.44238417270763242</v>
      </c>
      <c r="O12" s="563">
        <f>'Počty obyvateľov'!W210</f>
        <v>0.44525240219451262</v>
      </c>
      <c r="P12" s="563">
        <f>'Počty obyvateľov'!X210</f>
        <v>0.44814714332859384</v>
      </c>
      <c r="Q12" s="563">
        <f>'Počty obyvateľov'!Y210</f>
        <v>0.45106810801560748</v>
      </c>
      <c r="R12" s="563">
        <f>'Počty obyvateľov'!Z210</f>
        <v>0.45401499200015982</v>
      </c>
      <c r="S12" s="563">
        <f>'Počty obyvateľov'!AA210</f>
        <v>0.45698747483245145</v>
      </c>
      <c r="T12" s="563">
        <f>'Počty obyvateľov'!AB210</f>
        <v>0.45998521985353691</v>
      </c>
    </row>
    <row r="13" spans="1:20">
      <c r="B13" s="22" t="s">
        <v>1037</v>
      </c>
      <c r="C13" s="563">
        <f>'Počty obyvateľov'!J211</f>
        <v>0.59225153731147739</v>
      </c>
      <c r="D13" s="563">
        <f>'Počty obyvateľov'!K211</f>
        <v>0.59068102414746482</v>
      </c>
      <c r="E13" s="563">
        <f>'Počty obyvateľov'!L211</f>
        <v>0.58918004821754022</v>
      </c>
      <c r="F13" s="563">
        <f>'Počty obyvateľov'!M211</f>
        <v>0.5874412646338506</v>
      </c>
      <c r="G13" s="563">
        <f>'Počty obyvateľov'!N211</f>
        <v>0.58596095235426338</v>
      </c>
      <c r="H13" s="563">
        <f>'Počty obyvateľov'!O211</f>
        <v>0.5728790280519982</v>
      </c>
      <c r="I13" s="563">
        <f>'Počty obyvateľov'!P211</f>
        <v>0.57155034007146421</v>
      </c>
      <c r="J13" s="563">
        <f>'Počty obyvateľov'!R211</f>
        <v>0.56881842915873282</v>
      </c>
      <c r="K13" s="563">
        <f>'Počty obyvateľov'!S211</f>
        <v>0.56605880614327442</v>
      </c>
      <c r="L13" s="563">
        <f>'Počty obyvateľov'!T211</f>
        <v>0.56327167942744139</v>
      </c>
      <c r="M13" s="563">
        <f>'Počty obyvateľov'!U211</f>
        <v>0.56045727314756077</v>
      </c>
      <c r="N13" s="563">
        <f>'Počty obyvateľov'!V211</f>
        <v>0.55761582729236769</v>
      </c>
      <c r="O13" s="563">
        <f>'Počty obyvateľov'!W211</f>
        <v>0.55474759780548721</v>
      </c>
      <c r="P13" s="563">
        <f>'Počty obyvateľov'!X211</f>
        <v>0.55185285667140627</v>
      </c>
      <c r="Q13" s="563">
        <f>'Počty obyvateľov'!Y211</f>
        <v>0.54893189198439241</v>
      </c>
      <c r="R13" s="563">
        <f>'Počty obyvateľov'!Z211</f>
        <v>0.54598500799984029</v>
      </c>
      <c r="S13" s="563">
        <f>'Počty obyvateľov'!AA211</f>
        <v>0.54301252516754861</v>
      </c>
      <c r="T13" s="563">
        <f>'Počty obyvateľov'!AB211</f>
        <v>0.54001478014646309</v>
      </c>
    </row>
    <row r="15" spans="1:20">
      <c r="B15" s="57" t="s">
        <v>1034</v>
      </c>
    </row>
    <row r="16" spans="1:20">
      <c r="B16" s="22" t="s">
        <v>266</v>
      </c>
      <c r="C16" s="88">
        <f>C3*C$12</f>
        <v>153861843.65320057</v>
      </c>
      <c r="D16" s="88">
        <f t="shared" ref="D16:T16" si="2">D3*D$12</f>
        <v>152717319.20955673</v>
      </c>
      <c r="E16" s="88">
        <f t="shared" si="2"/>
        <v>153995448.10570326</v>
      </c>
      <c r="F16" s="88">
        <f t="shared" si="2"/>
        <v>157870550.79268146</v>
      </c>
      <c r="G16" s="88">
        <f t="shared" si="2"/>
        <v>117551068.13424401</v>
      </c>
      <c r="H16" s="88">
        <f t="shared" si="2"/>
        <v>110820380.26065661</v>
      </c>
      <c r="I16" s="88">
        <f t="shared" si="2"/>
        <v>159891414.79009056</v>
      </c>
      <c r="J16" s="88">
        <f t="shared" si="2"/>
        <v>175649941.44663963</v>
      </c>
      <c r="K16" s="88">
        <f t="shared" si="2"/>
        <v>176609364.44943663</v>
      </c>
      <c r="L16" s="88">
        <f t="shared" si="2"/>
        <v>177578029.68774068</v>
      </c>
      <c r="M16" s="88">
        <f t="shared" si="2"/>
        <v>178555817.62532434</v>
      </c>
      <c r="N16" s="88">
        <f t="shared" si="2"/>
        <v>179542602.68646517</v>
      </c>
      <c r="O16" s="88">
        <f t="shared" si="2"/>
        <v>180538253.24349684</v>
      </c>
      <c r="P16" s="88">
        <f t="shared" si="2"/>
        <v>181542631.61119959</v>
      </c>
      <c r="Q16" s="88">
        <f t="shared" si="2"/>
        <v>182555594.04820269</v>
      </c>
      <c r="R16" s="88">
        <f t="shared" si="2"/>
        <v>183576990.76556796</v>
      </c>
      <c r="S16" s="88">
        <f t="shared" si="2"/>
        <v>184606665.94270274</v>
      </c>
      <c r="T16" s="88">
        <f t="shared" si="2"/>
        <v>185644457.75074762</v>
      </c>
    </row>
    <row r="17" spans="2:20">
      <c r="B17" s="22" t="s">
        <v>269</v>
      </c>
      <c r="C17" s="88">
        <f>C6*C$12</f>
        <v>488074909.83816159</v>
      </c>
      <c r="D17" s="88">
        <f>D6*D$12</f>
        <v>527612159.87391788</v>
      </c>
      <c r="E17" s="88">
        <f t="shared" ref="E17:T17" si="3">E6*E$12</f>
        <v>533655117.36541528</v>
      </c>
      <c r="F17" s="88">
        <f t="shared" si="3"/>
        <v>547465441.83088028</v>
      </c>
      <c r="G17" s="88">
        <f t="shared" si="3"/>
        <v>406172305.74046755</v>
      </c>
      <c r="H17" s="88">
        <f t="shared" si="3"/>
        <v>397649624.88358974</v>
      </c>
      <c r="I17" s="88">
        <f t="shared" si="3"/>
        <v>664953872.20908749</v>
      </c>
      <c r="J17" s="88">
        <f t="shared" si="3"/>
        <v>715195677.13620317</v>
      </c>
      <c r="K17" s="88">
        <f t="shared" si="3"/>
        <v>732052882.68556511</v>
      </c>
      <c r="L17" s="88">
        <f t="shared" si="3"/>
        <v>749324299.70282722</v>
      </c>
      <c r="M17" s="88">
        <f t="shared" si="3"/>
        <v>767019569.05414391</v>
      </c>
      <c r="N17" s="88">
        <f t="shared" si="3"/>
        <v>785148512.25683236</v>
      </c>
      <c r="O17" s="88">
        <f t="shared" si="3"/>
        <v>803721133.10510015</v>
      </c>
      <c r="P17" s="88">
        <f t="shared" si="3"/>
        <v>822747619.26345026</v>
      </c>
      <c r="Q17" s="88">
        <f t="shared" si="3"/>
        <v>842238343.82773662</v>
      </c>
      <c r="R17" s="88">
        <f t="shared" si="3"/>
        <v>862203866.85402739</v>
      </c>
      <c r="S17" s="88">
        <f t="shared" si="3"/>
        <v>882654936.85553956</v>
      </c>
      <c r="T17" s="88">
        <f t="shared" si="3"/>
        <v>903602492.26810479</v>
      </c>
    </row>
    <row r="18" spans="2:20">
      <c r="B18" s="22" t="s">
        <v>270</v>
      </c>
      <c r="C18" s="88">
        <f>C7*C$12</f>
        <v>35142927.908684343</v>
      </c>
      <c r="D18" s="88">
        <f t="shared" ref="D18:T18" si="4">D7*D$12</f>
        <v>34881511.958779566</v>
      </c>
      <c r="E18" s="88">
        <f t="shared" si="4"/>
        <v>35173443.932222739</v>
      </c>
      <c r="F18" s="88">
        <f t="shared" si="4"/>
        <v>36058539.620236039</v>
      </c>
      <c r="G18" s="88">
        <f t="shared" si="4"/>
        <v>26849338.438592441</v>
      </c>
      <c r="H18" s="88">
        <f t="shared" si="4"/>
        <v>25312010.709370103</v>
      </c>
      <c r="I18" s="88">
        <f t="shared" si="4"/>
        <v>36520116.552423842</v>
      </c>
      <c r="J18" s="88">
        <f t="shared" si="4"/>
        <v>40119454.459009908</v>
      </c>
      <c r="K18" s="88">
        <f t="shared" si="4"/>
        <v>39971782.497840643</v>
      </c>
      <c r="L18" s="88">
        <f t="shared" si="4"/>
        <v>39825551.562014401</v>
      </c>
      <c r="M18" s="88">
        <f t="shared" si="4"/>
        <v>39680702.242012024</v>
      </c>
      <c r="N18" s="88">
        <f t="shared" si="4"/>
        <v>39537175.414164089</v>
      </c>
      <c r="O18" s="88">
        <f t="shared" si="4"/>
        <v>39394912.265781105</v>
      </c>
      <c r="P18" s="88">
        <f t="shared" si="4"/>
        <v>39253854.3208149</v>
      </c>
      <c r="Q18" s="88">
        <f t="shared" si="4"/>
        <v>39113943.466016024</v>
      </c>
      <c r="R18" s="88">
        <f t="shared" si="4"/>
        <v>38975121.977551319</v>
      </c>
      <c r="S18" s="88">
        <f t="shared" si="4"/>
        <v>38837332.548042148</v>
      </c>
      <c r="T18" s="88">
        <f t="shared" si="4"/>
        <v>38700518.313983642</v>
      </c>
    </row>
    <row r="19" spans="2:20">
      <c r="B19" s="57" t="s">
        <v>1035</v>
      </c>
    </row>
    <row r="20" spans="2:20">
      <c r="B20" s="22" t="s">
        <v>266</v>
      </c>
      <c r="C20" s="88">
        <f>C3*C$13</f>
        <v>223483156.34679943</v>
      </c>
      <c r="D20" s="88">
        <f t="shared" ref="D20:T20" si="5">D3*D$13</f>
        <v>220383680.79044327</v>
      </c>
      <c r="E20" s="88">
        <f t="shared" si="5"/>
        <v>220853551.89429674</v>
      </c>
      <c r="F20" s="88">
        <f t="shared" si="5"/>
        <v>224791449.20731854</v>
      </c>
      <c r="G20" s="88">
        <f t="shared" si="5"/>
        <v>166361931.86575598</v>
      </c>
      <c r="H20" s="88">
        <f t="shared" si="5"/>
        <v>148638619.7393434</v>
      </c>
      <c r="I20" s="88">
        <f t="shared" si="5"/>
        <v>213294585.20990944</v>
      </c>
      <c r="J20" s="88">
        <f t="shared" si="5"/>
        <v>231718910.38980028</v>
      </c>
      <c r="K20" s="88">
        <f t="shared" si="5"/>
        <v>230379801.24785775</v>
      </c>
      <c r="L20" s="88">
        <f t="shared" si="5"/>
        <v>229031803.75501084</v>
      </c>
      <c r="M20" s="88">
        <f t="shared" si="5"/>
        <v>227675037.11765051</v>
      </c>
      <c r="N20" s="88">
        <f t="shared" si="5"/>
        <v>226309626.5819703</v>
      </c>
      <c r="O20" s="88">
        <f t="shared" si="5"/>
        <v>224935703.44641453</v>
      </c>
      <c r="P20" s="88">
        <f t="shared" si="5"/>
        <v>223553405.06728828</v>
      </c>
      <c r="Q20" s="88">
        <f t="shared" si="5"/>
        <v>222162874.85735345</v>
      </c>
      <c r="R20" s="88">
        <f t="shared" si="5"/>
        <v>220764262.27724645</v>
      </c>
      <c r="S20" s="88">
        <f t="shared" si="5"/>
        <v>219357722.81956345</v>
      </c>
      <c r="T20" s="88">
        <f t="shared" si="5"/>
        <v>217943417.98547351</v>
      </c>
    </row>
    <row r="21" spans="2:20">
      <c r="B21" s="22" t="s">
        <v>269</v>
      </c>
      <c r="C21" s="88">
        <f>C6*C$13</f>
        <v>708925090.16183841</v>
      </c>
      <c r="D21" s="88">
        <f t="shared" ref="D21:T21" si="6">D6*D$13</f>
        <v>761387840.12608218</v>
      </c>
      <c r="E21" s="88">
        <f t="shared" si="6"/>
        <v>765344882.63458478</v>
      </c>
      <c r="F21" s="88">
        <f t="shared" si="6"/>
        <v>779534558.16911972</v>
      </c>
      <c r="G21" s="88">
        <f t="shared" si="6"/>
        <v>574827694.25953233</v>
      </c>
      <c r="H21" s="88">
        <f t="shared" si="6"/>
        <v>533350375.11641032</v>
      </c>
      <c r="I21" s="88">
        <f t="shared" si="6"/>
        <v>887046127.79091251</v>
      </c>
      <c r="J21" s="88">
        <f t="shared" si="6"/>
        <v>943492275.9245069</v>
      </c>
      <c r="K21" s="88">
        <f t="shared" si="6"/>
        <v>954933494.84481311</v>
      </c>
      <c r="L21" s="88">
        <f t="shared" si="6"/>
        <v>966443294.02786911</v>
      </c>
      <c r="M21" s="88">
        <f t="shared" si="6"/>
        <v>978020269.38605225</v>
      </c>
      <c r="N21" s="88">
        <f t="shared" si="6"/>
        <v>989662976.7060194</v>
      </c>
      <c r="O21" s="88">
        <f t="shared" si="6"/>
        <v>1001369932.420442</v>
      </c>
      <c r="P21" s="88">
        <f t="shared" si="6"/>
        <v>1013139614.4529747</v>
      </c>
      <c r="Q21" s="88">
        <f t="shared" si="6"/>
        <v>1024970463.1371621</v>
      </c>
      <c r="R21" s="88">
        <f t="shared" si="6"/>
        <v>1036860882.2098626</v>
      </c>
      <c r="S21" s="88">
        <f t="shared" si="6"/>
        <v>1048809239.8796185</v>
      </c>
      <c r="T21" s="88">
        <f t="shared" si="6"/>
        <v>1060813869.9702716</v>
      </c>
    </row>
    <row r="22" spans="2:20">
      <c r="B22" s="22" t="s">
        <v>270</v>
      </c>
      <c r="C22" s="88">
        <f>C7*C$13</f>
        <v>51044835.196457967</v>
      </c>
      <c r="D22" s="88">
        <f t="shared" ref="D22:T22" si="7">D7*D$13</f>
        <v>50336897.195420705</v>
      </c>
      <c r="E22" s="88">
        <f t="shared" si="7"/>
        <v>50444218.451536134</v>
      </c>
      <c r="F22" s="88">
        <f t="shared" si="7"/>
        <v>51343656.79243663</v>
      </c>
      <c r="G22" s="88">
        <f t="shared" si="7"/>
        <v>37998019.778610028</v>
      </c>
      <c r="H22" s="88">
        <f t="shared" si="7"/>
        <v>33949913.597291231</v>
      </c>
      <c r="I22" s="88">
        <f t="shared" si="7"/>
        <v>48717707.089483805</v>
      </c>
      <c r="J22" s="88">
        <f t="shared" si="7"/>
        <v>52925928.674443297</v>
      </c>
      <c r="K22" s="88">
        <f t="shared" si="7"/>
        <v>52141580.012375727</v>
      </c>
      <c r="L22" s="88">
        <f t="shared" si="7"/>
        <v>51365126.225499779</v>
      </c>
      <c r="M22" s="88">
        <f t="shared" si="7"/>
        <v>50596533.207121901</v>
      </c>
      <c r="N22" s="88">
        <f t="shared" si="7"/>
        <v>49835767.501435757</v>
      </c>
      <c r="O22" s="88">
        <f t="shared" si="7"/>
        <v>49082796.269008711</v>
      </c>
      <c r="P22" s="88">
        <f t="shared" si="7"/>
        <v>48337587.251831472</v>
      </c>
      <c r="Q22" s="88">
        <f t="shared" si="7"/>
        <v>47600108.737964295</v>
      </c>
      <c r="R22" s="88">
        <f t="shared" si="7"/>
        <v>46870329.525815785</v>
      </c>
      <c r="S22" s="88">
        <f t="shared" si="7"/>
        <v>46148218.888091542</v>
      </c>
      <c r="T22" s="88">
        <f t="shared" si="7"/>
        <v>45433746.535452627</v>
      </c>
    </row>
    <row r="23" spans="2:20">
      <c r="C23" s="526"/>
      <c r="D23" s="526"/>
      <c r="E23" s="526"/>
      <c r="F23" s="526"/>
      <c r="G23" s="526"/>
      <c r="H23" s="526"/>
      <c r="I23" s="526"/>
      <c r="J23" s="526"/>
      <c r="K23" s="526"/>
      <c r="L23" s="526"/>
      <c r="M23" s="526"/>
      <c r="N23" s="526"/>
      <c r="O23" s="526"/>
      <c r="P23" s="526"/>
      <c r="Q23" s="526"/>
      <c r="R23" s="526"/>
      <c r="S23" s="526"/>
      <c r="T23" s="526"/>
    </row>
    <row r="28" spans="2:20">
      <c r="B28" s="22" t="s">
        <v>265</v>
      </c>
    </row>
    <row r="29" spans="2:20">
      <c r="B29" s="22" t="s">
        <v>266</v>
      </c>
      <c r="C29" s="530">
        <f>SUM(C30:C37)</f>
        <v>151164716.58006611</v>
      </c>
      <c r="D29" s="530">
        <f t="shared" ref="D29:K29" si="8">SUM(D30:D37)</f>
        <v>148800124.54085404</v>
      </c>
      <c r="E29" s="530">
        <f t="shared" si="8"/>
        <v>147740356.34689313</v>
      </c>
      <c r="F29" s="530">
        <f t="shared" si="8"/>
        <v>146036515.61348972</v>
      </c>
      <c r="G29" s="530">
        <f t="shared" si="8"/>
        <v>92434926.938181907</v>
      </c>
      <c r="H29" s="530">
        <f t="shared" si="8"/>
        <v>92892265.832673281</v>
      </c>
      <c r="I29" s="530">
        <f t="shared" si="8"/>
        <v>119037991.46258572</v>
      </c>
      <c r="J29" s="530">
        <f t="shared" si="8"/>
        <v>125391560.72101167</v>
      </c>
      <c r="K29" s="530">
        <f t="shared" si="8"/>
        <v>125391560.72101167</v>
      </c>
      <c r="L29" s="530">
        <f t="shared" ref="L29:T29" si="9">SUM(L30:L37)</f>
        <v>123829709.83571327</v>
      </c>
      <c r="M29" s="530">
        <f t="shared" si="9"/>
        <v>123544574.99724475</v>
      </c>
      <c r="N29" s="530">
        <f t="shared" si="9"/>
        <v>122063641.61875525</v>
      </c>
      <c r="O29" s="530">
        <f t="shared" si="9"/>
        <v>120659719.6288324</v>
      </c>
      <c r="P29" s="530">
        <f t="shared" si="9"/>
        <v>119333366.26612228</v>
      </c>
      <c r="Q29" s="530">
        <f t="shared" si="9"/>
        <v>118085260.03075254</v>
      </c>
      <c r="R29" s="530">
        <f t="shared" si="9"/>
        <v>116916204.97699417</v>
      </c>
      <c r="S29" s="530">
        <f t="shared" si="9"/>
        <v>115827135.30493531</v>
      </c>
      <c r="T29" s="530">
        <f t="shared" si="9"/>
        <v>114819120.26580392</v>
      </c>
    </row>
    <row r="30" spans="2:20" outlineLevel="1">
      <c r="B30" s="59" t="s">
        <v>30</v>
      </c>
      <c r="C30" s="87">
        <f>'DM_03_Kraje počet cest. CVD,PAD'!V55</f>
        <v>22035505.213960234</v>
      </c>
      <c r="D30" s="87">
        <f>'DM_03_Kraje počet cest. CVD,PAD'!W55</f>
        <v>21666000</v>
      </c>
      <c r="E30" s="87">
        <f>'DM_03_Kraje počet cest. CVD,PAD'!X55</f>
        <v>21491000</v>
      </c>
      <c r="F30" s="87">
        <f>'DM_03_Kraje počet cest. CVD,PAD'!Y55</f>
        <v>21057000</v>
      </c>
      <c r="G30" s="87">
        <f>'DM_03_Kraje počet cest. CVD,PAD'!Z55</f>
        <v>13569000</v>
      </c>
      <c r="H30" s="87">
        <f>'DM_03_Kraje počet cest. CVD,PAD'!AA55</f>
        <v>14217000</v>
      </c>
      <c r="I30" s="87">
        <f>'DM_03_Kraje počet cest. CVD,PAD'!AB55</f>
        <v>18175000</v>
      </c>
      <c r="J30" s="110">
        <f>'DM_03_Kraje počet cest. CVD,PAD'!AC55</f>
        <v>19281461.491489537</v>
      </c>
      <c r="K30" s="110">
        <f>'DM_03_Kraje počet cest. CVD,PAD'!AF55</f>
        <v>19281461.491489537</v>
      </c>
      <c r="L30" s="110">
        <f>'DM_03_Kraje počet cest. CVD,PAD'!AG55</f>
        <v>18991980.550136454</v>
      </c>
      <c r="M30" s="110">
        <f>'DM_03_Kraje počet cest. CVD,PAD'!AH55</f>
        <v>18706845.711667929</v>
      </c>
      <c r="N30" s="110">
        <f>'DM_03_Kraje počet cest. CVD,PAD'!AI55</f>
        <v>18425991.726156987</v>
      </c>
      <c r="O30" s="110">
        <f>'DM_03_Kraje počet cest. CVD,PAD'!AJ55</f>
        <v>18149354.323302105</v>
      </c>
      <c r="P30" s="110">
        <f>'DM_03_Kraje počet cest. CVD,PAD'!AK55</f>
        <v>17876870.197719656</v>
      </c>
      <c r="Q30" s="110">
        <f>'DM_03_Kraje počet cest. CVD,PAD'!AL55</f>
        <v>17608476.994457189</v>
      </c>
      <c r="R30" s="110">
        <f>'DM_03_Kraje počet cest. CVD,PAD'!AM55</f>
        <v>17344113.294724185</v>
      </c>
      <c r="S30" s="110">
        <f>'DM_03_Kraje počet cest. CVD,PAD'!AN55</f>
        <v>17083718.601837061</v>
      </c>
      <c r="T30" s="110">
        <f>'DM_03_Kraje počet cest. CVD,PAD'!AO55</f>
        <v>16827233.327375174</v>
      </c>
    </row>
    <row r="31" spans="2:20" outlineLevel="1">
      <c r="B31" s="59" t="s">
        <v>18</v>
      </c>
      <c r="C31" s="87">
        <f>'DM_03_Kraje počet cest. CVD,PAD'!V56</f>
        <v>9924856.297384385</v>
      </c>
      <c r="D31" s="87">
        <f>'DM_03_Kraje počet cest. CVD,PAD'!W56</f>
        <v>10347766.705379458</v>
      </c>
      <c r="E31" s="87">
        <f>'DM_03_Kraje počet cest. CVD,PAD'!X56</f>
        <v>11512059.688365895</v>
      </c>
      <c r="F31" s="87">
        <f>'DM_03_Kraje počet cest. CVD,PAD'!Y56</f>
        <v>11620366.012364633</v>
      </c>
      <c r="G31" s="87">
        <f>'DM_03_Kraje počet cest. CVD,PAD'!Z56</f>
        <v>7352581.10241435</v>
      </c>
      <c r="H31" s="87">
        <f>'DM_03_Kraje počet cest. CVD,PAD'!AA56</f>
        <v>8278342.3004035652</v>
      </c>
      <c r="I31" s="87">
        <f>'DM_03_Kraje počet cest. CVD,PAD'!AB56</f>
        <v>9120295.0333937574</v>
      </c>
      <c r="J31" s="110">
        <f>'DM_03_Kraje počet cest. CVD,PAD'!AC56</f>
        <v>9675522.2821130678</v>
      </c>
      <c r="K31" s="110">
        <f>'DM_03_Kraje počet cest. CVD,PAD'!AF56</f>
        <v>9675522.2821130678</v>
      </c>
      <c r="L31" s="110">
        <f>'DM_03_Kraje počet cest. CVD,PAD'!AG56</f>
        <v>10206178.452223534</v>
      </c>
      <c r="M31" s="110">
        <f>'DM_03_Kraje počet cest. CVD,PAD'!AH56</f>
        <v>10206178.452223534</v>
      </c>
      <c r="N31" s="110">
        <f>'DM_03_Kraje počet cest. CVD,PAD'!AI56</f>
        <v>10765938.577930991</v>
      </c>
      <c r="O31" s="110">
        <f>'DM_03_Kraje počet cest. CVD,PAD'!AJ56</f>
        <v>11356398.872148998</v>
      </c>
      <c r="P31" s="110">
        <f>'DM_03_Kraje počet cest. CVD,PAD'!AK56</f>
        <v>11979243.09244315</v>
      </c>
      <c r="Q31" s="110">
        <f>'DM_03_Kraje počet cest. CVD,PAD'!AL56</f>
        <v>12636247.342436964</v>
      </c>
      <c r="R31" s="110">
        <f>'DM_03_Kraje počet cest. CVD,PAD'!AM56</f>
        <v>13329285.136551961</v>
      </c>
      <c r="S31" s="110">
        <f>'DM_03_Kraje počet cest. CVD,PAD'!AN56</f>
        <v>14060332.742524533</v>
      </c>
      <c r="T31" s="110">
        <f>'DM_03_Kraje počet cest. CVD,PAD'!AO56</f>
        <v>14831474.816934327</v>
      </c>
    </row>
    <row r="32" spans="2:20" outlineLevel="1">
      <c r="B32" s="59" t="s">
        <v>38</v>
      </c>
      <c r="C32" s="87">
        <f>'DM_03_Kraje počet cest. CVD,PAD'!V57</f>
        <v>15760504.183316406</v>
      </c>
      <c r="D32" s="87">
        <f>'DM_03_Kraje počet cest. CVD,PAD'!W57</f>
        <v>15308583.152821669</v>
      </c>
      <c r="E32" s="87">
        <f>'DM_03_Kraje počet cest. CVD,PAD'!X57</f>
        <v>15591597.892318374</v>
      </c>
      <c r="F32" s="87">
        <f>'DM_03_Kraje počet cest. CVD,PAD'!Y57</f>
        <v>15777910.556816204</v>
      </c>
      <c r="G32" s="87">
        <f>'DM_03_Kraje počet cest. CVD,PAD'!Z57</f>
        <v>9715335.1348868255</v>
      </c>
      <c r="H32" s="87">
        <f>'DM_03_Kraje počet cest. CVD,PAD'!AA57</f>
        <v>8922378.1198960636</v>
      </c>
      <c r="I32" s="87">
        <f>'DM_03_Kraje počet cest. CVD,PAD'!AB57</f>
        <v>12541614.446853902</v>
      </c>
      <c r="J32" s="110">
        <f>'DM_03_Kraje počet cest. CVD,PAD'!AC57</f>
        <v>13305125.501959966</v>
      </c>
      <c r="K32" s="110">
        <f>'DM_03_Kraje počet cest. CVD,PAD'!AF57</f>
        <v>13305125.501959966</v>
      </c>
      <c r="L32" s="110">
        <f>'DM_03_Kraje počet cest. CVD,PAD'!AG57</f>
        <v>13312942.727667049</v>
      </c>
      <c r="M32" s="110">
        <f>'DM_03_Kraje počet cest. CVD,PAD'!AH57</f>
        <v>13312942.727667049</v>
      </c>
      <c r="N32" s="110">
        <f>'DM_03_Kraje počet cest. CVD,PAD'!AI57</f>
        <v>13320764.546267128</v>
      </c>
      <c r="O32" s="110">
        <f>'DM_03_Kraje počet cest. CVD,PAD'!AJ57</f>
        <v>13328590.96045869</v>
      </c>
      <c r="P32" s="110">
        <f>'DM_03_Kraje počet cest. CVD,PAD'!AK57</f>
        <v>13336421.972941807</v>
      </c>
      <c r="Q32" s="110">
        <f>'DM_03_Kraje počet cest. CVD,PAD'!AL57</f>
        <v>13344257.586418133</v>
      </c>
      <c r="R32" s="110">
        <f>'DM_03_Kraje počet cest. CVD,PAD'!AM57</f>
        <v>13352097.803590914</v>
      </c>
      <c r="S32" s="110">
        <f>'DM_03_Kraje počet cest. CVD,PAD'!AN57</f>
        <v>13359942.627164982</v>
      </c>
      <c r="T32" s="110">
        <f>'DM_03_Kraje počet cest. CVD,PAD'!AO57</f>
        <v>13367792.059846757</v>
      </c>
    </row>
    <row r="33" spans="2:20" outlineLevel="1">
      <c r="B33" s="59" t="s">
        <v>28</v>
      </c>
      <c r="C33" s="87">
        <f>'DM_03_Kraje počet cest. CVD,PAD'!V58</f>
        <v>18454524.200302899</v>
      </c>
      <c r="D33" s="87">
        <f>'DM_03_Kraje počet cest. CVD,PAD'!W58</f>
        <v>18740503</v>
      </c>
      <c r="E33" s="87">
        <f>'DM_03_Kraje počet cest. CVD,PAD'!X58</f>
        <v>18100520</v>
      </c>
      <c r="F33" s="87">
        <f>'DM_03_Kraje počet cest. CVD,PAD'!Y58</f>
        <v>17596582</v>
      </c>
      <c r="G33" s="87">
        <f>'DM_03_Kraje počet cest. CVD,PAD'!Z58</f>
        <v>11452407</v>
      </c>
      <c r="H33" s="87">
        <f>'DM_03_Kraje počet cest. CVD,PAD'!AA58</f>
        <v>10983172</v>
      </c>
      <c r="I33" s="87">
        <f>'DM_03_Kraje počet cest. CVD,PAD'!AB58</f>
        <v>13861366</v>
      </c>
      <c r="J33" s="110">
        <f>'DM_03_Kraje počet cest. CVD,PAD'!AC58</f>
        <v>14486133</v>
      </c>
      <c r="K33" s="110">
        <f>'DM_03_Kraje počet cest. CVD,PAD'!AF58</f>
        <v>14486133</v>
      </c>
      <c r="L33" s="110">
        <f>'DM_03_Kraje počet cest. CVD,PAD'!AG58</f>
        <v>14037107.289898766</v>
      </c>
      <c r="M33" s="110">
        <f>'DM_03_Kraje počet cest. CVD,PAD'!AH58</f>
        <v>14037107.289898766</v>
      </c>
      <c r="N33" s="110">
        <f>'DM_03_Kraje počet cest. CVD,PAD'!AI58</f>
        <v>13602000.000146974</v>
      </c>
      <c r="O33" s="110">
        <f>'DM_03_Kraje počet cest. CVD,PAD'!AJ58</f>
        <v>13180379.702386145</v>
      </c>
      <c r="P33" s="110">
        <f>'DM_03_Kraje počet cest. CVD,PAD'!AK58</f>
        <v>12771828.3412142</v>
      </c>
      <c r="Q33" s="110">
        <f>'DM_03_Kraje počet cest. CVD,PAD'!AL58</f>
        <v>12375940.819664815</v>
      </c>
      <c r="R33" s="110">
        <f>'DM_03_Kraje počet cest. CVD,PAD'!AM58</f>
        <v>11992324.597535636</v>
      </c>
      <c r="S33" s="110">
        <f>'DM_03_Kraje počet cest. CVD,PAD'!AN58</f>
        <v>11620599.302167099</v>
      </c>
      <c r="T33" s="110">
        <f>'DM_03_Kraje počet cest. CVD,PAD'!AO58</f>
        <v>11260396.351285903</v>
      </c>
    </row>
    <row r="34" spans="2:20" outlineLevel="1">
      <c r="B34" s="59" t="s">
        <v>34</v>
      </c>
      <c r="C34" s="87">
        <f>'DM_03_Kraje počet cest. CVD,PAD'!V59</f>
        <v>17709373.334793702</v>
      </c>
      <c r="D34" s="87">
        <f>'DM_03_Kraje počet cest. CVD,PAD'!W59</f>
        <v>17076297.08380108</v>
      </c>
      <c r="E34" s="87">
        <f>'DM_03_Kraje počet cest. CVD,PAD'!X59</f>
        <v>16628244.136306297</v>
      </c>
      <c r="F34" s="87">
        <f>'DM_03_Kraje počet cest. CVD,PAD'!Y59</f>
        <v>16406474.04430888</v>
      </c>
      <c r="G34" s="87">
        <f>'DM_03_Kraje počet cest. CVD,PAD'!Z59</f>
        <v>10238815.700880729</v>
      </c>
      <c r="H34" s="87">
        <f>'DM_03_Kraje počet cest. CVD,PAD'!AA59</f>
        <v>10846749.412373645</v>
      </c>
      <c r="I34" s="87">
        <f>'DM_03_Kraje počet cest. CVD,PAD'!AB59</f>
        <v>13902534.982338049</v>
      </c>
      <c r="J34" s="110">
        <f>'DM_03_Kraje počet cest. CVD,PAD'!AC59</f>
        <v>14748896.445449093</v>
      </c>
      <c r="K34" s="110">
        <f>'DM_03_Kraje počet cest. CVD,PAD'!AF59</f>
        <v>14748896.445449093</v>
      </c>
      <c r="L34" s="110">
        <f>'DM_03_Kraje počet cest. CVD,PAD'!AG59</f>
        <v>14378584.411540389</v>
      </c>
      <c r="M34" s="110">
        <f>'DM_03_Kraje počet cest. CVD,PAD'!AH59</f>
        <v>14378584.411540389</v>
      </c>
      <c r="N34" s="110">
        <f>'DM_03_Kraje počet cest. CVD,PAD'!AI59</f>
        <v>14017570.090376826</v>
      </c>
      <c r="O34" s="110">
        <f>'DM_03_Kraje počet cest. CVD,PAD'!AJ59</f>
        <v>13665620.037040669</v>
      </c>
      <c r="P34" s="110">
        <f>'DM_03_Kraje počet cest. CVD,PAD'!AK59</f>
        <v>13322506.667897616</v>
      </c>
      <c r="Q34" s="110">
        <f>'DM_03_Kraje počet cest. CVD,PAD'!AL59</f>
        <v>12988008.113432974</v>
      </c>
      <c r="R34" s="110">
        <f>'DM_03_Kraje počet cest. CVD,PAD'!AM59</f>
        <v>12661908.074782817</v>
      </c>
      <c r="S34" s="110">
        <f>'DM_03_Kraje počet cest. CVD,PAD'!AN59</f>
        <v>12343995.683867315</v>
      </c>
      <c r="T34" s="110">
        <f>'DM_03_Kraje počet cest. CVD,PAD'!AO59</f>
        <v>12034065.367035806</v>
      </c>
    </row>
    <row r="35" spans="2:20" outlineLevel="1">
      <c r="B35" s="59" t="s">
        <v>23</v>
      </c>
      <c r="C35" s="87">
        <f>'DM_03_Kraje počet cest. CVD,PAD'!V60</f>
        <v>22635847.262678534</v>
      </c>
      <c r="D35" s="87">
        <f>'DM_03_Kraje počet cest. CVD,PAD'!W60</f>
        <v>21819501</v>
      </c>
      <c r="E35" s="87">
        <f>'DM_03_Kraje počet cest. CVD,PAD'!X60</f>
        <v>21315444</v>
      </c>
      <c r="F35" s="87">
        <f>'DM_03_Kraje počet cest. CVD,PAD'!Y60</f>
        <v>20979525</v>
      </c>
      <c r="G35" s="87">
        <f>'DM_03_Kraje počet cest. CVD,PAD'!Z60</f>
        <v>13553733</v>
      </c>
      <c r="H35" s="87">
        <f>'DM_03_Kraje počet cest. CVD,PAD'!AA60</f>
        <v>13520076</v>
      </c>
      <c r="I35" s="87">
        <f>'DM_03_Kraje počet cest. CVD,PAD'!AB60</f>
        <v>17008803</v>
      </c>
      <c r="J35" s="110">
        <f>'DM_03_Kraje počet cest. CVD,PAD'!AC60</f>
        <v>17008803</v>
      </c>
      <c r="K35" s="110">
        <f>'DM_03_Kraje počet cest. CVD,PAD'!AF60</f>
        <v>17008803</v>
      </c>
      <c r="L35" s="110">
        <f>'DM_03_Kraje počet cest. CVD,PAD'!AG60</f>
        <v>16584008.449369233</v>
      </c>
      <c r="M35" s="110">
        <f>'DM_03_Kraje počet cest. CVD,PAD'!AH60</f>
        <v>16584008.449369233</v>
      </c>
      <c r="N35" s="110">
        <f>'DM_03_Kraje počet cest. CVD,PAD'!AI60</f>
        <v>16169823.135040727</v>
      </c>
      <c r="O35" s="110">
        <f>'DM_03_Kraje počet cest. CVD,PAD'!AJ60</f>
        <v>15765982.091527635</v>
      </c>
      <c r="P35" s="110">
        <f>'DM_03_Kraje počet cest. CVD,PAD'!AK60</f>
        <v>15372226.970851406</v>
      </c>
      <c r="Q35" s="110">
        <f>'DM_03_Kraje počet cest. CVD,PAD'!AL60</f>
        <v>14988305.877269631</v>
      </c>
      <c r="R35" s="110">
        <f>'DM_03_Kraje počet cest. CVD,PAD'!AM60</f>
        <v>14613973.206131561</v>
      </c>
      <c r="S35" s="110">
        <f>'DM_03_Kraje počet cest. CVD,PAD'!AN60</f>
        <v>14248989.486758202</v>
      </c>
      <c r="T35" s="110">
        <f>'DM_03_Kraje počet cest. CVD,PAD'!AO60</f>
        <v>13893121.229246492</v>
      </c>
    </row>
    <row r="36" spans="2:20" outlineLevel="1">
      <c r="B36" s="59" t="s">
        <v>20</v>
      </c>
      <c r="C36" s="87">
        <f>'DM_03_Kraje počet cest. CVD,PAD'!V61</f>
        <v>15971418.835276989</v>
      </c>
      <c r="D36" s="87">
        <f>'DM_03_Kraje počet cest. CVD,PAD'!W61</f>
        <v>16283320</v>
      </c>
      <c r="E36" s="87">
        <f>'DM_03_Kraje počet cest. CVD,PAD'!X61</f>
        <v>15785692</v>
      </c>
      <c r="F36" s="87">
        <f>'DM_03_Kraje počet cest. CVD,PAD'!Y61</f>
        <v>15497538</v>
      </c>
      <c r="G36" s="87">
        <f>'DM_03_Kraje počet cest. CVD,PAD'!Z61</f>
        <v>9247848</v>
      </c>
      <c r="H36" s="87">
        <f>'DM_03_Kraje počet cest. CVD,PAD'!AA61</f>
        <v>9473837</v>
      </c>
      <c r="I36" s="87">
        <f>'DM_03_Kraje počet cest. CVD,PAD'!AB61</f>
        <v>12517802</v>
      </c>
      <c r="J36" s="110">
        <f>'DM_03_Kraje počet cest. CVD,PAD'!AC61</f>
        <v>13259884</v>
      </c>
      <c r="K36" s="110">
        <f>'DM_03_Kraje počet cest. CVD,PAD'!AF61</f>
        <v>13259884</v>
      </c>
      <c r="L36" s="110">
        <f>'DM_03_Kraje počet cest. CVD,PAD'!AG61</f>
        <v>13130440.940987693</v>
      </c>
      <c r="M36" s="110">
        <f>'DM_03_Kraje počet cest. CVD,PAD'!AH61</f>
        <v>13130440.940987693</v>
      </c>
      <c r="N36" s="110">
        <f>'DM_03_Kraje počet cest. CVD,PAD'!AI61</f>
        <v>13002261.505814513</v>
      </c>
      <c r="O36" s="110">
        <f>'DM_03_Kraje počet cest. CVD,PAD'!AJ61</f>
        <v>12875333.358977739</v>
      </c>
      <c r="P36" s="110">
        <f>'DM_03_Kraje počet cest. CVD,PAD'!AK61</f>
        <v>12749644.28539389</v>
      </c>
      <c r="Q36" s="110">
        <f>'DM_03_Kraje počet cest. CVD,PAD'!AL61</f>
        <v>12625182.189223202</v>
      </c>
      <c r="R36" s="110">
        <f>'DM_03_Kraje počet cest. CVD,PAD'!AM61</f>
        <v>12501935.092705559</v>
      </c>
      <c r="S36" s="110">
        <f>'DM_03_Kraje počet cest. CVD,PAD'!AN61</f>
        <v>12379891.135007804</v>
      </c>
      <c r="T36" s="110">
        <f>'DM_03_Kraje počet cest. CVD,PAD'!AO61</f>
        <v>12259038.571082301</v>
      </c>
    </row>
    <row r="37" spans="2:20" outlineLevel="1">
      <c r="B37" s="59" t="s">
        <v>26</v>
      </c>
      <c r="C37" s="87">
        <f>'DM_03_Kraje počet cest. CVD,PAD'!V62</f>
        <v>28672687.25235296</v>
      </c>
      <c r="D37" s="87">
        <f>'DM_03_Kraje počet cest. CVD,PAD'!W62</f>
        <v>27558153.598851815</v>
      </c>
      <c r="E37" s="87">
        <f>'DM_03_Kraje počet cest. CVD,PAD'!X62</f>
        <v>27315798.629902571</v>
      </c>
      <c r="F37" s="87">
        <f>'DM_03_Kraje počet cest. CVD,PAD'!Y62</f>
        <v>27101120</v>
      </c>
      <c r="G37" s="87">
        <f>'DM_03_Kraje počet cest. CVD,PAD'!Z62</f>
        <v>17305207</v>
      </c>
      <c r="H37" s="87">
        <f>'DM_03_Kraje počet cest. CVD,PAD'!AA62</f>
        <v>16650711</v>
      </c>
      <c r="I37" s="87">
        <f>'DM_03_Kraje počet cest. CVD,PAD'!AB62</f>
        <v>21910576</v>
      </c>
      <c r="J37" s="110">
        <f>'DM_03_Kraje počet cest. CVD,PAD'!AC62</f>
        <v>23625735</v>
      </c>
      <c r="K37" s="110">
        <f>'DM_03_Kraje počet cest. CVD,PAD'!AF62</f>
        <v>23625735</v>
      </c>
      <c r="L37" s="110">
        <f>'DM_03_Kraje počet cest. CVD,PAD'!AG62</f>
        <v>23188467.01389014</v>
      </c>
      <c r="M37" s="110">
        <f>'DM_03_Kraje počet cest. CVD,PAD'!AH62</f>
        <v>23188467.01389014</v>
      </c>
      <c r="N37" s="110">
        <f>'DM_03_Kraje počet cest. CVD,PAD'!AI62</f>
        <v>22759292.037021119</v>
      </c>
      <c r="O37" s="110">
        <f>'DM_03_Kraje počet cest. CVD,PAD'!AJ62</f>
        <v>22338060.282990422</v>
      </c>
      <c r="P37" s="110">
        <f>'DM_03_Kraje počet cest. CVD,PAD'!AK62</f>
        <v>21924624.737660557</v>
      </c>
      <c r="Q37" s="110">
        <f>'DM_03_Kraje počet cest. CVD,PAD'!AL62</f>
        <v>21518841.107849624</v>
      </c>
      <c r="R37" s="110">
        <f>'DM_03_Kraje počet cest. CVD,PAD'!AM62</f>
        <v>21120567.770971533</v>
      </c>
      <c r="S37" s="110">
        <f>'DM_03_Kraje počet cest. CVD,PAD'!AN62</f>
        <v>20729665.725608308</v>
      </c>
      <c r="T37" s="110">
        <f>'DM_03_Kraje počet cest. CVD,PAD'!AO62</f>
        <v>20345998.54299717</v>
      </c>
    </row>
    <row r="38" spans="2:20">
      <c r="B38" s="22" t="s">
        <v>267</v>
      </c>
      <c r="C38" s="88">
        <f t="shared" ref="C38:T38" si="10">SUM(C39:C46)</f>
        <v>578190</v>
      </c>
      <c r="D38" s="88">
        <f t="shared" si="10"/>
        <v>2680802</v>
      </c>
      <c r="E38" s="88">
        <f t="shared" si="10"/>
        <v>3441236</v>
      </c>
      <c r="F38" s="88">
        <f t="shared" si="10"/>
        <v>4146526</v>
      </c>
      <c r="G38" s="88">
        <f t="shared" si="10"/>
        <v>3874702</v>
      </c>
      <c r="H38" s="88">
        <f t="shared" si="10"/>
        <v>3950903</v>
      </c>
      <c r="I38" s="88">
        <f t="shared" si="10"/>
        <v>4082910</v>
      </c>
      <c r="J38" s="88">
        <f t="shared" si="10"/>
        <v>2949651</v>
      </c>
      <c r="K38" s="88">
        <f t="shared" si="10"/>
        <v>0</v>
      </c>
      <c r="L38" s="88">
        <f t="shared" si="10"/>
        <v>0</v>
      </c>
      <c r="M38" s="88">
        <f t="shared" si="10"/>
        <v>0</v>
      </c>
      <c r="N38" s="88">
        <f t="shared" si="10"/>
        <v>0</v>
      </c>
      <c r="O38" s="88">
        <f t="shared" si="10"/>
        <v>0</v>
      </c>
      <c r="P38" s="88">
        <f t="shared" si="10"/>
        <v>0</v>
      </c>
      <c r="Q38" s="88">
        <f t="shared" si="10"/>
        <v>0</v>
      </c>
      <c r="R38" s="88">
        <f t="shared" si="10"/>
        <v>0</v>
      </c>
      <c r="S38" s="88">
        <f t="shared" si="10"/>
        <v>0</v>
      </c>
      <c r="T38" s="88">
        <f t="shared" si="10"/>
        <v>0</v>
      </c>
    </row>
    <row r="39" spans="2:20" outlineLevel="1">
      <c r="B39" s="59" t="s">
        <v>30</v>
      </c>
      <c r="C39" s="87">
        <f>'DM_05_Kraje jazdy PAD'!V6</f>
        <v>0</v>
      </c>
      <c r="D39" s="87">
        <f>'DM_05_Kraje jazdy PAD'!W6</f>
        <v>0</v>
      </c>
      <c r="E39" s="87">
        <f>'DM_05_Kraje jazdy PAD'!X6</f>
        <v>0</v>
      </c>
      <c r="F39" s="87">
        <f>'DM_05_Kraje jazdy PAD'!Y6</f>
        <v>0</v>
      </c>
      <c r="G39" s="87">
        <f>'DM_05_Kraje jazdy PAD'!Z6</f>
        <v>0</v>
      </c>
      <c r="H39" s="87">
        <f>'DM_05_Kraje jazdy PAD'!AA6</f>
        <v>0</v>
      </c>
      <c r="I39" s="87">
        <f>'DM_05_Kraje jazdy PAD'!AB6</f>
        <v>0</v>
      </c>
      <c r="J39" s="88">
        <f>'DM_05_Kraje jazdy PAD'!AE6</f>
        <v>0</v>
      </c>
      <c r="K39" s="88">
        <f>'DM_05_Kraje jazdy PAD'!AF6</f>
        <v>0</v>
      </c>
      <c r="L39" s="88">
        <f>'DM_05_Kraje jazdy PAD'!AG6</f>
        <v>0</v>
      </c>
      <c r="M39" s="88">
        <f>'DM_05_Kraje jazdy PAD'!AH6</f>
        <v>0</v>
      </c>
      <c r="N39" s="88">
        <f>'DM_05_Kraje jazdy PAD'!AI6</f>
        <v>0</v>
      </c>
      <c r="O39" s="88">
        <f>'DM_05_Kraje jazdy PAD'!AJ6</f>
        <v>0</v>
      </c>
      <c r="P39" s="88">
        <f>'DM_05_Kraje jazdy PAD'!AK6</f>
        <v>0</v>
      </c>
      <c r="Q39" s="88">
        <f>'DM_05_Kraje jazdy PAD'!AL6</f>
        <v>0</v>
      </c>
      <c r="R39" s="88">
        <f>'DM_05_Kraje jazdy PAD'!AM6</f>
        <v>0</v>
      </c>
      <c r="S39" s="88">
        <f>'DM_05_Kraje jazdy PAD'!AN6</f>
        <v>0</v>
      </c>
      <c r="T39" s="88">
        <f>'DM_05_Kraje jazdy PAD'!AO6</f>
        <v>0</v>
      </c>
    </row>
    <row r="40" spans="2:20" outlineLevel="1">
      <c r="B40" s="59" t="s">
        <v>18</v>
      </c>
      <c r="C40" s="87">
        <f>'DM_05_Kraje jazdy PAD'!V7</f>
        <v>578190</v>
      </c>
      <c r="D40" s="87">
        <f>'DM_05_Kraje jazdy PAD'!W7</f>
        <v>578190</v>
      </c>
      <c r="E40" s="87">
        <f>'DM_05_Kraje jazdy PAD'!X7</f>
        <v>578190</v>
      </c>
      <c r="F40" s="87">
        <f>'DM_05_Kraje jazdy PAD'!Y7</f>
        <v>588737</v>
      </c>
      <c r="G40" s="87">
        <f>'DM_05_Kraje jazdy PAD'!Z7</f>
        <v>599284</v>
      </c>
      <c r="H40" s="87">
        <f>'DM_05_Kraje jazdy PAD'!AA7</f>
        <v>609831</v>
      </c>
      <c r="I40" s="87">
        <f>'DM_05_Kraje jazdy PAD'!AB7</f>
        <v>620378</v>
      </c>
      <c r="J40" s="87">
        <f>'DM_05_Kraje jazdy PAD'!AE7</f>
        <v>630925</v>
      </c>
      <c r="K40" s="88">
        <f>'DM_05_Kraje jazdy PAD'!AF7</f>
        <v>0</v>
      </c>
      <c r="L40" s="88">
        <f>'DM_05_Kraje jazdy PAD'!AG7</f>
        <v>0</v>
      </c>
      <c r="M40" s="88">
        <f>'DM_05_Kraje jazdy PAD'!AH7</f>
        <v>0</v>
      </c>
      <c r="N40" s="88">
        <f>'DM_05_Kraje jazdy PAD'!AI7</f>
        <v>0</v>
      </c>
      <c r="O40" s="88">
        <f>'DM_05_Kraje jazdy PAD'!AJ7</f>
        <v>0</v>
      </c>
      <c r="P40" s="88">
        <f>'DM_05_Kraje jazdy PAD'!AK7</f>
        <v>0</v>
      </c>
      <c r="Q40" s="88">
        <f>'DM_05_Kraje jazdy PAD'!AL7</f>
        <v>0</v>
      </c>
      <c r="R40" s="88">
        <f>'DM_05_Kraje jazdy PAD'!AM7</f>
        <v>0</v>
      </c>
      <c r="S40" s="88">
        <f>'DM_05_Kraje jazdy PAD'!AN7</f>
        <v>0</v>
      </c>
      <c r="T40" s="88">
        <f>'DM_05_Kraje jazdy PAD'!AO7</f>
        <v>0</v>
      </c>
    </row>
    <row r="41" spans="2:20" outlineLevel="1">
      <c r="B41" s="59" t="s">
        <v>38</v>
      </c>
      <c r="C41" s="87">
        <f>'DM_05_Kraje jazdy PAD'!V8</f>
        <v>0</v>
      </c>
      <c r="D41" s="87">
        <f>'DM_05_Kraje jazdy PAD'!W8</f>
        <v>0</v>
      </c>
      <c r="E41" s="87">
        <f>'DM_05_Kraje jazdy PAD'!X8</f>
        <v>0</v>
      </c>
      <c r="F41" s="87">
        <f>'DM_05_Kraje jazdy PAD'!Y8</f>
        <v>0</v>
      </c>
      <c r="G41" s="87">
        <f>'DM_05_Kraje jazdy PAD'!Z8</f>
        <v>0</v>
      </c>
      <c r="H41" s="87">
        <f>'DM_05_Kraje jazdy PAD'!AA8</f>
        <v>0</v>
      </c>
      <c r="I41" s="87">
        <f>'DM_05_Kraje jazdy PAD'!AB8</f>
        <v>0</v>
      </c>
      <c r="J41" s="88">
        <f>'DM_05_Kraje jazdy PAD'!AE8</f>
        <v>0</v>
      </c>
      <c r="K41" s="88">
        <f>'DM_05_Kraje jazdy PAD'!AF8</f>
        <v>0</v>
      </c>
      <c r="L41" s="88">
        <f>'DM_05_Kraje jazdy PAD'!AG8</f>
        <v>0</v>
      </c>
      <c r="M41" s="88">
        <f>'DM_05_Kraje jazdy PAD'!AH8</f>
        <v>0</v>
      </c>
      <c r="N41" s="88">
        <f>'DM_05_Kraje jazdy PAD'!AI8</f>
        <v>0</v>
      </c>
      <c r="O41" s="88">
        <f>'DM_05_Kraje jazdy PAD'!AJ8</f>
        <v>0</v>
      </c>
      <c r="P41" s="88">
        <f>'DM_05_Kraje jazdy PAD'!AK8</f>
        <v>0</v>
      </c>
      <c r="Q41" s="88">
        <f>'DM_05_Kraje jazdy PAD'!AL8</f>
        <v>0</v>
      </c>
      <c r="R41" s="88">
        <f>'DM_05_Kraje jazdy PAD'!AM8</f>
        <v>0</v>
      </c>
      <c r="S41" s="88">
        <f>'DM_05_Kraje jazdy PAD'!AN8</f>
        <v>0</v>
      </c>
      <c r="T41" s="88">
        <f>'DM_05_Kraje jazdy PAD'!AO8</f>
        <v>0</v>
      </c>
    </row>
    <row r="42" spans="2:20" outlineLevel="1">
      <c r="B42" s="59" t="s">
        <v>28</v>
      </c>
      <c r="C42" s="87">
        <f>'DM_05_Kraje jazdy PAD'!V9</f>
        <v>0</v>
      </c>
      <c r="D42" s="87">
        <f>'DM_05_Kraje jazdy PAD'!W9</f>
        <v>916691</v>
      </c>
      <c r="E42" s="87">
        <f>'DM_05_Kraje jazdy PAD'!X9</f>
        <v>927465</v>
      </c>
      <c r="F42" s="87">
        <f>'DM_05_Kraje jazdy PAD'!Y9</f>
        <v>907194</v>
      </c>
      <c r="G42" s="87">
        <f>'DM_05_Kraje jazdy PAD'!Z9</f>
        <v>874496</v>
      </c>
      <c r="H42" s="87">
        <f>'DM_05_Kraje jazdy PAD'!AA9</f>
        <v>864185</v>
      </c>
      <c r="I42" s="87">
        <f>'DM_05_Kraje jazdy PAD'!AB9</f>
        <v>890122</v>
      </c>
      <c r="J42" s="88">
        <f>'DM_05_Kraje jazdy PAD'!AE9</f>
        <v>883963</v>
      </c>
      <c r="K42" s="88">
        <f>'DM_05_Kraje jazdy PAD'!AF9</f>
        <v>0</v>
      </c>
      <c r="L42" s="88">
        <f>'DM_05_Kraje jazdy PAD'!AG9</f>
        <v>0</v>
      </c>
      <c r="M42" s="88">
        <f>'DM_05_Kraje jazdy PAD'!AH9</f>
        <v>0</v>
      </c>
      <c r="N42" s="88">
        <f>'DM_05_Kraje jazdy PAD'!AI9</f>
        <v>0</v>
      </c>
      <c r="O42" s="88">
        <f>'DM_05_Kraje jazdy PAD'!AJ9</f>
        <v>0</v>
      </c>
      <c r="P42" s="88">
        <f>'DM_05_Kraje jazdy PAD'!AK9</f>
        <v>0</v>
      </c>
      <c r="Q42" s="88">
        <f>'DM_05_Kraje jazdy PAD'!AL9</f>
        <v>0</v>
      </c>
      <c r="R42" s="88">
        <f>'DM_05_Kraje jazdy PAD'!AM9</f>
        <v>0</v>
      </c>
      <c r="S42" s="88">
        <f>'DM_05_Kraje jazdy PAD'!AN9</f>
        <v>0</v>
      </c>
      <c r="T42" s="88">
        <f>'DM_05_Kraje jazdy PAD'!AO9</f>
        <v>0</v>
      </c>
    </row>
    <row r="43" spans="2:20" outlineLevel="1">
      <c r="B43" s="59" t="s">
        <v>34</v>
      </c>
      <c r="C43" s="87">
        <f>'DM_05_Kraje jazdy PAD'!V10</f>
        <v>0</v>
      </c>
      <c r="D43" s="87">
        <f>'DM_05_Kraje jazdy PAD'!W10</f>
        <v>0</v>
      </c>
      <c r="E43" s="87">
        <f>'DM_05_Kraje jazdy PAD'!X10</f>
        <v>0</v>
      </c>
      <c r="F43" s="87">
        <f>'DM_05_Kraje jazdy PAD'!Y10</f>
        <v>0</v>
      </c>
      <c r="G43" s="87">
        <f>'DM_05_Kraje jazdy PAD'!Z10</f>
        <v>0</v>
      </c>
      <c r="H43" s="87">
        <f>'DM_05_Kraje jazdy PAD'!AA10</f>
        <v>0</v>
      </c>
      <c r="I43" s="87">
        <f>'DM_05_Kraje jazdy PAD'!AB10</f>
        <v>0</v>
      </c>
      <c r="J43" s="88">
        <f>'DM_05_Kraje jazdy PAD'!AE10</f>
        <v>0</v>
      </c>
      <c r="K43" s="88">
        <f>'DM_05_Kraje jazdy PAD'!AF10</f>
        <v>0</v>
      </c>
      <c r="L43" s="88">
        <f>'DM_05_Kraje jazdy PAD'!AG10</f>
        <v>0</v>
      </c>
      <c r="M43" s="88">
        <f>'DM_05_Kraje jazdy PAD'!AH10</f>
        <v>0</v>
      </c>
      <c r="N43" s="88">
        <f>'DM_05_Kraje jazdy PAD'!AI10</f>
        <v>0</v>
      </c>
      <c r="O43" s="88">
        <f>'DM_05_Kraje jazdy PAD'!AJ10</f>
        <v>0</v>
      </c>
      <c r="P43" s="88">
        <f>'DM_05_Kraje jazdy PAD'!AK10</f>
        <v>0</v>
      </c>
      <c r="Q43" s="88">
        <f>'DM_05_Kraje jazdy PAD'!AL10</f>
        <v>0</v>
      </c>
      <c r="R43" s="88">
        <f>'DM_05_Kraje jazdy PAD'!AM10</f>
        <v>0</v>
      </c>
      <c r="S43" s="88">
        <f>'DM_05_Kraje jazdy PAD'!AN10</f>
        <v>0</v>
      </c>
      <c r="T43" s="88">
        <f>'DM_05_Kraje jazdy PAD'!AO10</f>
        <v>0</v>
      </c>
    </row>
    <row r="44" spans="2:20" outlineLevel="1">
      <c r="B44" s="59" t="s">
        <v>23</v>
      </c>
      <c r="C44" s="87">
        <f>'DM_05_Kraje jazdy PAD'!V11</f>
        <v>0</v>
      </c>
      <c r="D44" s="87">
        <f>'DM_05_Kraje jazdy PAD'!W11</f>
        <v>1185921</v>
      </c>
      <c r="E44" s="87">
        <f>'DM_05_Kraje jazdy PAD'!X11</f>
        <v>1199801</v>
      </c>
      <c r="F44" s="87">
        <f>'DM_05_Kraje jazdy PAD'!Y11</f>
        <v>1203814</v>
      </c>
      <c r="G44" s="87">
        <f>'DM_05_Kraje jazdy PAD'!Z11</f>
        <v>1090233</v>
      </c>
      <c r="H44" s="87">
        <f>'DM_05_Kraje jazdy PAD'!AA11</f>
        <v>1150860</v>
      </c>
      <c r="I44" s="87">
        <f>'DM_05_Kraje jazdy PAD'!AB11</f>
        <v>1168262</v>
      </c>
      <c r="J44" s="88">
        <f>'DM_05_Kraje jazdy PAD'!AE11</f>
        <v>0</v>
      </c>
      <c r="K44" s="88">
        <f>'DM_05_Kraje jazdy PAD'!AF11</f>
        <v>0</v>
      </c>
      <c r="L44" s="88">
        <f>'DM_05_Kraje jazdy PAD'!AG11</f>
        <v>0</v>
      </c>
      <c r="M44" s="88">
        <f>'DM_05_Kraje jazdy PAD'!AH11</f>
        <v>0</v>
      </c>
      <c r="N44" s="88">
        <f>'DM_05_Kraje jazdy PAD'!AI11</f>
        <v>0</v>
      </c>
      <c r="O44" s="88">
        <f>'DM_05_Kraje jazdy PAD'!AJ11</f>
        <v>0</v>
      </c>
      <c r="P44" s="88">
        <f>'DM_05_Kraje jazdy PAD'!AK11</f>
        <v>0</v>
      </c>
      <c r="Q44" s="88">
        <f>'DM_05_Kraje jazdy PAD'!AL11</f>
        <v>0</v>
      </c>
      <c r="R44" s="88">
        <f>'DM_05_Kraje jazdy PAD'!AM11</f>
        <v>0</v>
      </c>
      <c r="S44" s="88">
        <f>'DM_05_Kraje jazdy PAD'!AN11</f>
        <v>0</v>
      </c>
      <c r="T44" s="88">
        <f>'DM_05_Kraje jazdy PAD'!AO11</f>
        <v>0</v>
      </c>
    </row>
    <row r="45" spans="2:20" outlineLevel="1">
      <c r="B45" s="59" t="s">
        <v>20</v>
      </c>
      <c r="C45" s="87">
        <f>'DM_05_Kraje jazdy PAD'!V12</f>
        <v>0</v>
      </c>
      <c r="D45" s="87">
        <f>'DM_05_Kraje jazdy PAD'!W12</f>
        <v>0</v>
      </c>
      <c r="E45" s="87">
        <f>'DM_05_Kraje jazdy PAD'!X12</f>
        <v>735780</v>
      </c>
      <c r="F45" s="87">
        <f>'DM_05_Kraje jazdy PAD'!Y12</f>
        <v>729519</v>
      </c>
      <c r="G45" s="87">
        <f>'DM_05_Kraje jazdy PAD'!Z12</f>
        <v>644342</v>
      </c>
      <c r="H45" s="87">
        <f>'DM_05_Kraje jazdy PAD'!AA12</f>
        <v>662889</v>
      </c>
      <c r="I45" s="87">
        <f>'DM_05_Kraje jazdy PAD'!AB12</f>
        <v>706304</v>
      </c>
      <c r="J45" s="87">
        <f>'DM_05_Kraje jazdy PAD'!AE12</f>
        <v>695113</v>
      </c>
      <c r="K45" s="88">
        <f>'DM_05_Kraje jazdy PAD'!AF12</f>
        <v>0</v>
      </c>
      <c r="L45" s="88">
        <f>'DM_05_Kraje jazdy PAD'!AG12</f>
        <v>0</v>
      </c>
      <c r="M45" s="88">
        <f>'DM_05_Kraje jazdy PAD'!AH12</f>
        <v>0</v>
      </c>
      <c r="N45" s="88">
        <f>'DM_05_Kraje jazdy PAD'!AI12</f>
        <v>0</v>
      </c>
      <c r="O45" s="88">
        <f>'DM_05_Kraje jazdy PAD'!AJ12</f>
        <v>0</v>
      </c>
      <c r="P45" s="88">
        <f>'DM_05_Kraje jazdy PAD'!AK12</f>
        <v>0</v>
      </c>
      <c r="Q45" s="88">
        <f>'DM_05_Kraje jazdy PAD'!AL12</f>
        <v>0</v>
      </c>
      <c r="R45" s="88">
        <f>'DM_05_Kraje jazdy PAD'!AM12</f>
        <v>0</v>
      </c>
      <c r="S45" s="88">
        <f>'DM_05_Kraje jazdy PAD'!AN12</f>
        <v>0</v>
      </c>
      <c r="T45" s="88">
        <f>'DM_05_Kraje jazdy PAD'!AO12</f>
        <v>0</v>
      </c>
    </row>
    <row r="46" spans="2:20" outlineLevel="1">
      <c r="B46" s="59" t="s">
        <v>26</v>
      </c>
      <c r="C46" s="87">
        <f>'DM_05_Kraje jazdy PAD'!V13</f>
        <v>0</v>
      </c>
      <c r="D46" s="87">
        <f>'DM_05_Kraje jazdy PAD'!W13</f>
        <v>0</v>
      </c>
      <c r="E46" s="87">
        <f>'DM_05_Kraje jazdy PAD'!X13</f>
        <v>0</v>
      </c>
      <c r="F46" s="87">
        <f>'DM_05_Kraje jazdy PAD'!Y13</f>
        <v>717262</v>
      </c>
      <c r="G46" s="87">
        <f>'DM_05_Kraje jazdy PAD'!Z13</f>
        <v>666347</v>
      </c>
      <c r="H46" s="87">
        <f>'DM_05_Kraje jazdy PAD'!AA13</f>
        <v>663138</v>
      </c>
      <c r="I46" s="87">
        <f>'DM_05_Kraje jazdy PAD'!AB13</f>
        <v>697844</v>
      </c>
      <c r="J46" s="88">
        <f>'DM_05_Kraje jazdy PAD'!AE13</f>
        <v>739650</v>
      </c>
      <c r="K46" s="88">
        <f>'DM_05_Kraje jazdy PAD'!AF13</f>
        <v>0</v>
      </c>
      <c r="L46" s="88">
        <f>'DM_05_Kraje jazdy PAD'!AG13</f>
        <v>0</v>
      </c>
      <c r="M46" s="88">
        <f>'DM_05_Kraje jazdy PAD'!AH13</f>
        <v>0</v>
      </c>
      <c r="N46" s="88">
        <f>'DM_05_Kraje jazdy PAD'!AI13</f>
        <v>0</v>
      </c>
      <c r="O46" s="88">
        <f>'DM_05_Kraje jazdy PAD'!AJ13</f>
        <v>0</v>
      </c>
      <c r="P46" s="88">
        <f>'DM_05_Kraje jazdy PAD'!AK13</f>
        <v>0</v>
      </c>
      <c r="Q46" s="88">
        <f>'DM_05_Kraje jazdy PAD'!AL13</f>
        <v>0</v>
      </c>
      <c r="R46" s="88">
        <f>'DM_05_Kraje jazdy PAD'!AM13</f>
        <v>0</v>
      </c>
      <c r="S46" s="88">
        <f>'DM_05_Kraje jazdy PAD'!AN13</f>
        <v>0</v>
      </c>
      <c r="T46" s="88">
        <f>'DM_05_Kraje jazdy PAD'!AO13</f>
        <v>0</v>
      </c>
    </row>
    <row r="47" spans="2:20">
      <c r="B47" s="22" t="s">
        <v>268</v>
      </c>
      <c r="C47" s="88">
        <f t="shared" ref="C47:T47" si="11">SUM(C48:C55)</f>
        <v>0</v>
      </c>
      <c r="D47" s="88">
        <f t="shared" si="11"/>
        <v>924330086</v>
      </c>
      <c r="E47" s="88">
        <f t="shared" si="11"/>
        <v>996893731</v>
      </c>
      <c r="F47" s="88">
        <f t="shared" si="11"/>
        <v>1096975138</v>
      </c>
      <c r="G47" s="88">
        <f t="shared" si="11"/>
        <v>1012313027</v>
      </c>
      <c r="H47" s="88">
        <f t="shared" si="11"/>
        <v>1033548230</v>
      </c>
      <c r="I47" s="88">
        <f t="shared" si="11"/>
        <v>1093596409</v>
      </c>
      <c r="J47" s="88">
        <f t="shared" si="11"/>
        <v>66147048</v>
      </c>
      <c r="K47" s="88">
        <f t="shared" si="11"/>
        <v>0</v>
      </c>
      <c r="L47" s="88">
        <f t="shared" si="11"/>
        <v>0</v>
      </c>
      <c r="M47" s="88">
        <f t="shared" si="11"/>
        <v>0</v>
      </c>
      <c r="N47" s="88">
        <f t="shared" si="11"/>
        <v>0</v>
      </c>
      <c r="O47" s="88">
        <f t="shared" si="11"/>
        <v>0</v>
      </c>
      <c r="P47" s="88">
        <f t="shared" si="11"/>
        <v>0</v>
      </c>
      <c r="Q47" s="88">
        <f t="shared" si="11"/>
        <v>0</v>
      </c>
      <c r="R47" s="88">
        <f t="shared" si="11"/>
        <v>0</v>
      </c>
      <c r="S47" s="88">
        <f t="shared" si="11"/>
        <v>0</v>
      </c>
      <c r="T47" s="88">
        <f t="shared" si="11"/>
        <v>0</v>
      </c>
    </row>
    <row r="48" spans="2:20" outlineLevel="1">
      <c r="B48" s="59" t="s">
        <v>30</v>
      </c>
      <c r="C48" s="87">
        <f>'DM_06_Kraje km PAD '!V6</f>
        <v>0</v>
      </c>
      <c r="D48" s="87">
        <f>'DM_06_Kraje km PAD '!W6</f>
        <v>27995000</v>
      </c>
      <c r="E48" s="87">
        <f>'DM_06_Kraje km PAD '!X6</f>
        <v>28204000</v>
      </c>
      <c r="F48" s="87">
        <f>'DM_06_Kraje km PAD '!Y6</f>
        <v>28445000</v>
      </c>
      <c r="G48" s="87">
        <f>'DM_06_Kraje km PAD '!Z6</f>
        <v>26794000</v>
      </c>
      <c r="H48" s="87">
        <f>'DM_06_Kraje km PAD '!AA6</f>
        <v>28193000</v>
      </c>
      <c r="I48" s="87">
        <f>'DM_06_Kraje km PAD '!AB6</f>
        <v>28817000</v>
      </c>
      <c r="J48" s="88">
        <f>'DM_06_Kraje km PAD '!AE6</f>
        <v>0</v>
      </c>
      <c r="K48" s="88">
        <f>'DM_06_Kraje km PAD '!AF6</f>
        <v>0</v>
      </c>
      <c r="L48" s="88">
        <f>'DM_06_Kraje km PAD '!AG6</f>
        <v>0</v>
      </c>
      <c r="M48" s="88">
        <f>'DM_06_Kraje km PAD '!AH6</f>
        <v>0</v>
      </c>
      <c r="N48" s="88">
        <f>'DM_06_Kraje km PAD '!AI6</f>
        <v>0</v>
      </c>
      <c r="O48" s="88">
        <f>'DM_06_Kraje km PAD '!AJ6</f>
        <v>0</v>
      </c>
      <c r="P48" s="88">
        <f>'DM_06_Kraje km PAD '!AK6</f>
        <v>0</v>
      </c>
      <c r="Q48" s="88">
        <f>'DM_06_Kraje km PAD '!AL6</f>
        <v>0</v>
      </c>
      <c r="R48" s="88">
        <f>'DM_06_Kraje km PAD '!AM6</f>
        <v>0</v>
      </c>
      <c r="S48" s="88">
        <f>'DM_06_Kraje km PAD '!AN6</f>
        <v>0</v>
      </c>
      <c r="T48" s="88">
        <f>'DM_06_Kraje km PAD '!AO6</f>
        <v>0</v>
      </c>
    </row>
    <row r="49" spans="2:20" outlineLevel="1">
      <c r="B49" s="59" t="s">
        <v>18</v>
      </c>
      <c r="C49" s="87">
        <f>'DM_06_Kraje km PAD '!V7</f>
        <v>0</v>
      </c>
      <c r="D49" s="87">
        <f>'DM_06_Kraje km PAD '!W7</f>
        <v>832582148</v>
      </c>
      <c r="E49" s="87">
        <f>'DM_06_Kraje km PAD '!X7</f>
        <v>904541076</v>
      </c>
      <c r="F49" s="87">
        <f>'DM_06_Kraje km PAD '!Y7</f>
        <v>977764900</v>
      </c>
      <c r="G49" s="87">
        <f>'DM_06_Kraje km PAD '!Z7</f>
        <v>900332650</v>
      </c>
      <c r="H49" s="87">
        <f>'DM_06_Kraje km PAD '!AA7</f>
        <v>918901111</v>
      </c>
      <c r="I49" s="87">
        <f>'DM_06_Kraje km PAD '!AB7</f>
        <v>976280686</v>
      </c>
      <c r="J49" s="88">
        <f>'DM_06_Kraje km PAD '!AE7</f>
        <v>0</v>
      </c>
      <c r="K49" s="88">
        <f>'DM_06_Kraje km PAD '!AF7</f>
        <v>0</v>
      </c>
      <c r="L49" s="88">
        <f>'DM_06_Kraje km PAD '!AG7</f>
        <v>0</v>
      </c>
      <c r="M49" s="88">
        <f>'DM_06_Kraje km PAD '!AH7</f>
        <v>0</v>
      </c>
      <c r="N49" s="88">
        <f>'DM_06_Kraje km PAD '!AI7</f>
        <v>0</v>
      </c>
      <c r="O49" s="88">
        <f>'DM_06_Kraje km PAD '!AJ7</f>
        <v>0</v>
      </c>
      <c r="P49" s="88">
        <f>'DM_06_Kraje km PAD '!AK7</f>
        <v>0</v>
      </c>
      <c r="Q49" s="88">
        <f>'DM_06_Kraje km PAD '!AL7</f>
        <v>0</v>
      </c>
      <c r="R49" s="88">
        <f>'DM_06_Kraje km PAD '!AM7</f>
        <v>0</v>
      </c>
      <c r="S49" s="88">
        <f>'DM_06_Kraje km PAD '!AN7</f>
        <v>0</v>
      </c>
      <c r="T49" s="88">
        <f>'DM_06_Kraje km PAD '!AO7</f>
        <v>0</v>
      </c>
    </row>
    <row r="50" spans="2:20" outlineLevel="1">
      <c r="B50" s="59" t="s">
        <v>38</v>
      </c>
      <c r="C50" s="87">
        <f>'DM_06_Kraje km PAD '!V8</f>
        <v>0</v>
      </c>
      <c r="D50" s="87">
        <f>'DM_06_Kraje km PAD '!W8</f>
        <v>0</v>
      </c>
      <c r="E50" s="87">
        <f>'DM_06_Kraje km PAD '!X8</f>
        <v>0</v>
      </c>
      <c r="F50" s="87">
        <f>'DM_06_Kraje km PAD '!Y8</f>
        <v>0</v>
      </c>
      <c r="G50" s="87">
        <f>'DM_06_Kraje km PAD '!Z8</f>
        <v>0</v>
      </c>
      <c r="H50" s="87">
        <f>'DM_06_Kraje km PAD '!AA8</f>
        <v>0</v>
      </c>
      <c r="I50" s="87">
        <f>'DM_06_Kraje km PAD '!AB8</f>
        <v>0</v>
      </c>
      <c r="J50" s="88">
        <f>'DM_06_Kraje km PAD '!AE8</f>
        <v>0</v>
      </c>
      <c r="K50" s="88">
        <f>'DM_06_Kraje km PAD '!AF8</f>
        <v>0</v>
      </c>
      <c r="L50" s="88">
        <f>'DM_06_Kraje km PAD '!AG8</f>
        <v>0</v>
      </c>
      <c r="M50" s="88">
        <f>'DM_06_Kraje km PAD '!AH8</f>
        <v>0</v>
      </c>
      <c r="N50" s="88">
        <f>'DM_06_Kraje km PAD '!AI8</f>
        <v>0</v>
      </c>
      <c r="O50" s="88">
        <f>'DM_06_Kraje km PAD '!AJ8</f>
        <v>0</v>
      </c>
      <c r="P50" s="88">
        <f>'DM_06_Kraje km PAD '!AK8</f>
        <v>0</v>
      </c>
      <c r="Q50" s="88">
        <f>'DM_06_Kraje km PAD '!AL8</f>
        <v>0</v>
      </c>
      <c r="R50" s="88">
        <f>'DM_06_Kraje km PAD '!AM8</f>
        <v>0</v>
      </c>
      <c r="S50" s="88">
        <f>'DM_06_Kraje km PAD '!AN8</f>
        <v>0</v>
      </c>
      <c r="T50" s="88">
        <f>'DM_06_Kraje km PAD '!AO8</f>
        <v>0</v>
      </c>
    </row>
    <row r="51" spans="2:20" outlineLevel="1">
      <c r="B51" s="59" t="s">
        <v>28</v>
      </c>
      <c r="C51" s="87">
        <f>'DM_06_Kraje km PAD '!V9</f>
        <v>0</v>
      </c>
      <c r="D51" s="87">
        <f>'DM_06_Kraje km PAD '!W9</f>
        <v>22309710</v>
      </c>
      <c r="E51" s="87">
        <f>'DM_06_Kraje km PAD '!X9</f>
        <v>22394719</v>
      </c>
      <c r="F51" s="87">
        <f>'DM_06_Kraje km PAD '!Y9</f>
        <v>22605746</v>
      </c>
      <c r="G51" s="87">
        <f>'DM_06_Kraje km PAD '!Z9</f>
        <v>21990104</v>
      </c>
      <c r="H51" s="87">
        <f>'DM_06_Kraje km PAD '!AA9</f>
        <v>21502148</v>
      </c>
      <c r="I51" s="87">
        <f>'DM_06_Kraje km PAD '!AB9</f>
        <v>22158185</v>
      </c>
      <c r="J51" s="88">
        <f>'DM_06_Kraje km PAD '!AE9</f>
        <v>22037369</v>
      </c>
      <c r="K51" s="88">
        <f>'DM_06_Kraje km PAD '!AF9</f>
        <v>0</v>
      </c>
      <c r="L51" s="88">
        <f>'DM_06_Kraje km PAD '!AG9</f>
        <v>0</v>
      </c>
      <c r="M51" s="88">
        <f>'DM_06_Kraje km PAD '!AH9</f>
        <v>0</v>
      </c>
      <c r="N51" s="88">
        <f>'DM_06_Kraje km PAD '!AI9</f>
        <v>0</v>
      </c>
      <c r="O51" s="88">
        <f>'DM_06_Kraje km PAD '!AJ9</f>
        <v>0</v>
      </c>
      <c r="P51" s="88">
        <f>'DM_06_Kraje km PAD '!AK9</f>
        <v>0</v>
      </c>
      <c r="Q51" s="88">
        <f>'DM_06_Kraje km PAD '!AL9</f>
        <v>0</v>
      </c>
      <c r="R51" s="88">
        <f>'DM_06_Kraje km PAD '!AM9</f>
        <v>0</v>
      </c>
      <c r="S51" s="88">
        <f>'DM_06_Kraje km PAD '!AN9</f>
        <v>0</v>
      </c>
      <c r="T51" s="88">
        <f>'DM_06_Kraje km PAD '!AO9</f>
        <v>0</v>
      </c>
    </row>
    <row r="52" spans="2:20" outlineLevel="1">
      <c r="B52" s="59" t="s">
        <v>34</v>
      </c>
      <c r="C52" s="87">
        <f>'DM_06_Kraje km PAD '!V10</f>
        <v>0</v>
      </c>
      <c r="D52" s="87">
        <f>'DM_06_Kraje km PAD '!W10</f>
        <v>0</v>
      </c>
      <c r="E52" s="87">
        <f>'DM_06_Kraje km PAD '!X10</f>
        <v>0</v>
      </c>
      <c r="F52" s="87">
        <f>'DM_06_Kraje km PAD '!Y10</f>
        <v>0</v>
      </c>
      <c r="G52" s="87">
        <f>'DM_06_Kraje km PAD '!Z10</f>
        <v>0</v>
      </c>
      <c r="H52" s="87">
        <f>'DM_06_Kraje km PAD '!AA10</f>
        <v>0</v>
      </c>
      <c r="I52" s="87">
        <f>'DM_06_Kraje km PAD '!AB10</f>
        <v>0</v>
      </c>
      <c r="J52" s="88">
        <f>'DM_06_Kraje km PAD '!AE10</f>
        <v>0</v>
      </c>
      <c r="K52" s="88">
        <f>'DM_06_Kraje km PAD '!AF10</f>
        <v>0</v>
      </c>
      <c r="L52" s="88">
        <f>'DM_06_Kraje km PAD '!AG10</f>
        <v>0</v>
      </c>
      <c r="M52" s="88">
        <f>'DM_06_Kraje km PAD '!AH10</f>
        <v>0</v>
      </c>
      <c r="N52" s="88">
        <f>'DM_06_Kraje km PAD '!AI10</f>
        <v>0</v>
      </c>
      <c r="O52" s="88">
        <f>'DM_06_Kraje km PAD '!AJ10</f>
        <v>0</v>
      </c>
      <c r="P52" s="88">
        <f>'DM_06_Kraje km PAD '!AK10</f>
        <v>0</v>
      </c>
      <c r="Q52" s="88">
        <f>'DM_06_Kraje km PAD '!AL10</f>
        <v>0</v>
      </c>
      <c r="R52" s="88">
        <f>'DM_06_Kraje km PAD '!AM10</f>
        <v>0</v>
      </c>
      <c r="S52" s="88">
        <f>'DM_06_Kraje km PAD '!AN10</f>
        <v>0</v>
      </c>
      <c r="T52" s="88">
        <f>'DM_06_Kraje km PAD '!AO10</f>
        <v>0</v>
      </c>
    </row>
    <row r="53" spans="2:20" outlineLevel="1">
      <c r="B53" s="59" t="s">
        <v>23</v>
      </c>
      <c r="C53" s="87">
        <f>'DM_06_Kraje km PAD '!V11</f>
        <v>0</v>
      </c>
      <c r="D53" s="87">
        <f>'DM_06_Kraje km PAD '!W11</f>
        <v>21835676</v>
      </c>
      <c r="E53" s="87">
        <f>'DM_06_Kraje km PAD '!X11</f>
        <v>22039193</v>
      </c>
      <c r="F53" s="87">
        <f>'DM_06_Kraje km PAD '!Y11</f>
        <v>22115666</v>
      </c>
      <c r="G53" s="87">
        <f>'DM_06_Kraje km PAD '!Z11</f>
        <v>20322512</v>
      </c>
      <c r="H53" s="87">
        <f>'DM_06_Kraje km PAD '!AA11</f>
        <v>21521505</v>
      </c>
      <c r="I53" s="87">
        <f>'DM_06_Kraje km PAD '!AB11</f>
        <v>21498241</v>
      </c>
      <c r="J53" s="88">
        <f>'DM_06_Kraje km PAD '!AE11</f>
        <v>0</v>
      </c>
      <c r="K53" s="88">
        <f>'DM_06_Kraje km PAD '!AF11</f>
        <v>0</v>
      </c>
      <c r="L53" s="88">
        <f>'DM_06_Kraje km PAD '!AG11</f>
        <v>0</v>
      </c>
      <c r="M53" s="88">
        <f>'DM_06_Kraje km PAD '!AH11</f>
        <v>0</v>
      </c>
      <c r="N53" s="88">
        <f>'DM_06_Kraje km PAD '!AI11</f>
        <v>0</v>
      </c>
      <c r="O53" s="88">
        <f>'DM_06_Kraje km PAD '!AJ11</f>
        <v>0</v>
      </c>
      <c r="P53" s="88">
        <f>'DM_06_Kraje km PAD '!AK11</f>
        <v>0</v>
      </c>
      <c r="Q53" s="88">
        <f>'DM_06_Kraje km PAD '!AL11</f>
        <v>0</v>
      </c>
      <c r="R53" s="88">
        <f>'DM_06_Kraje km PAD '!AM11</f>
        <v>0</v>
      </c>
      <c r="S53" s="88">
        <f>'DM_06_Kraje km PAD '!AN11</f>
        <v>0</v>
      </c>
      <c r="T53" s="88">
        <f>'DM_06_Kraje km PAD '!AO11</f>
        <v>0</v>
      </c>
    </row>
    <row r="54" spans="2:20" outlineLevel="1">
      <c r="B54" s="59" t="s">
        <v>20</v>
      </c>
      <c r="C54" s="87">
        <f>'DM_06_Kraje km PAD '!V12</f>
        <v>0</v>
      </c>
      <c r="D54" s="87">
        <f>'DM_06_Kraje km PAD '!W12</f>
        <v>19607552</v>
      </c>
      <c r="E54" s="87">
        <f>'DM_06_Kraje km PAD '!X12</f>
        <v>19714743</v>
      </c>
      <c r="F54" s="87">
        <f>'DM_06_Kraje km PAD '!Y12</f>
        <v>19785071</v>
      </c>
      <c r="G54" s="87">
        <f>'DM_06_Kraje km PAD '!Z12</f>
        <v>18132797</v>
      </c>
      <c r="H54" s="87">
        <f>'DM_06_Kraje km PAD '!AA12</f>
        <v>18579005</v>
      </c>
      <c r="I54" s="87">
        <f>'DM_06_Kraje km PAD '!AB12</f>
        <v>19219648</v>
      </c>
      <c r="J54" s="87">
        <f>'DM_06_Kraje km PAD '!AE12</f>
        <v>17690984</v>
      </c>
      <c r="K54" s="88">
        <f>'DM_06_Kraje km PAD '!AF12</f>
        <v>0</v>
      </c>
      <c r="L54" s="88">
        <f>'DM_06_Kraje km PAD '!AG12</f>
        <v>0</v>
      </c>
      <c r="M54" s="88">
        <f>'DM_06_Kraje km PAD '!AH12</f>
        <v>0</v>
      </c>
      <c r="N54" s="88">
        <f>'DM_06_Kraje km PAD '!AI12</f>
        <v>0</v>
      </c>
      <c r="O54" s="88">
        <f>'DM_06_Kraje km PAD '!AJ12</f>
        <v>0</v>
      </c>
      <c r="P54" s="88">
        <f>'DM_06_Kraje km PAD '!AK12</f>
        <v>0</v>
      </c>
      <c r="Q54" s="88">
        <f>'DM_06_Kraje km PAD '!AL12</f>
        <v>0</v>
      </c>
      <c r="R54" s="88">
        <f>'DM_06_Kraje km PAD '!AM12</f>
        <v>0</v>
      </c>
      <c r="S54" s="88">
        <f>'DM_06_Kraje km PAD '!AN12</f>
        <v>0</v>
      </c>
      <c r="T54" s="88">
        <f>'DM_06_Kraje km PAD '!AO12</f>
        <v>0</v>
      </c>
    </row>
    <row r="55" spans="2:20" outlineLevel="1">
      <c r="B55" s="59" t="s">
        <v>26</v>
      </c>
      <c r="C55" s="87">
        <f>'DM_06_Kraje km PAD '!V13</f>
        <v>0</v>
      </c>
      <c r="D55" s="87">
        <f>'DM_06_Kraje km PAD '!W13</f>
        <v>0</v>
      </c>
      <c r="E55" s="87">
        <f>'DM_06_Kraje km PAD '!X13</f>
        <v>0</v>
      </c>
      <c r="F55" s="87">
        <f>'DM_06_Kraje km PAD '!Y13</f>
        <v>26258755</v>
      </c>
      <c r="G55" s="87">
        <f>'DM_06_Kraje km PAD '!Z13</f>
        <v>24740964</v>
      </c>
      <c r="H55" s="87">
        <f>'DM_06_Kraje km PAD '!AA13</f>
        <v>24851461</v>
      </c>
      <c r="I55" s="87">
        <f>'DM_06_Kraje km PAD '!AB13</f>
        <v>25622649</v>
      </c>
      <c r="J55" s="88">
        <f>'DM_06_Kraje km PAD '!AE13</f>
        <v>26418695</v>
      </c>
      <c r="K55" s="88">
        <f>'DM_06_Kraje km PAD '!AF13</f>
        <v>0</v>
      </c>
      <c r="L55" s="88">
        <f>'DM_06_Kraje km PAD '!AG13</f>
        <v>0</v>
      </c>
      <c r="M55" s="88">
        <f>'DM_06_Kraje km PAD '!AH13</f>
        <v>0</v>
      </c>
      <c r="N55" s="88">
        <f>'DM_06_Kraje km PAD '!AI13</f>
        <v>0</v>
      </c>
      <c r="O55" s="88">
        <f>'DM_06_Kraje km PAD '!AJ13</f>
        <v>0</v>
      </c>
      <c r="P55" s="88">
        <f>'DM_06_Kraje km PAD '!AK13</f>
        <v>0</v>
      </c>
      <c r="Q55" s="88">
        <f>'DM_06_Kraje km PAD '!AL13</f>
        <v>0</v>
      </c>
      <c r="R55" s="88">
        <f>'DM_06_Kraje km PAD '!AM13</f>
        <v>0</v>
      </c>
      <c r="S55" s="88">
        <f>'DM_06_Kraje km PAD '!AN13</f>
        <v>0</v>
      </c>
      <c r="T55" s="88">
        <f>'DM_06_Kraje km PAD '!AO13</f>
        <v>0</v>
      </c>
    </row>
    <row r="56" spans="2:20">
      <c r="B56" s="22" t="s">
        <v>269</v>
      </c>
      <c r="C56" s="88">
        <f t="shared" ref="C56:T56" si="12">SUM(C57:C64)</f>
        <v>2495308722.9564214</v>
      </c>
      <c r="D56" s="88">
        <f t="shared" si="12"/>
        <v>2707894992.1827636</v>
      </c>
      <c r="E56" s="88">
        <f t="shared" si="12"/>
        <v>2958649928.7473197</v>
      </c>
      <c r="F56" s="88">
        <f t="shared" si="12"/>
        <v>2940769512.1160865</v>
      </c>
      <c r="G56" s="88">
        <f t="shared" si="12"/>
        <v>1681001360.1374216</v>
      </c>
      <c r="H56" s="88">
        <f t="shared" si="12"/>
        <v>1564850299.8386414</v>
      </c>
      <c r="I56" s="88">
        <f t="shared" si="12"/>
        <v>1985747516.5649734</v>
      </c>
      <c r="J56" s="88">
        <f t="shared" si="12"/>
        <v>2181899745.0373569</v>
      </c>
      <c r="K56" s="88">
        <f t="shared" si="12"/>
        <v>2181899745.0373569</v>
      </c>
      <c r="L56" s="88">
        <f t="shared" si="12"/>
        <v>2209051533.7414856</v>
      </c>
      <c r="M56" s="88">
        <f t="shared" si="12"/>
        <v>2237363674.6606212</v>
      </c>
      <c r="N56" s="88">
        <f t="shared" si="12"/>
        <v>2266896112.5206451</v>
      </c>
      <c r="O56" s="88">
        <f t="shared" si="12"/>
        <v>2297712656.9768453</v>
      </c>
      <c r="P56" s="88">
        <f t="shared" si="12"/>
        <v>2329881236.8518863</v>
      </c>
      <c r="Q56" s="88">
        <f t="shared" si="12"/>
        <v>2363474171.3064804</v>
      </c>
      <c r="R56" s="88">
        <f t="shared" si="12"/>
        <v>2398568459.0719175</v>
      </c>
      <c r="S56" s="88">
        <f t="shared" si="12"/>
        <v>2435246086.9489937</v>
      </c>
      <c r="T56" s="88">
        <f t="shared" si="12"/>
        <v>2473594358.8582149</v>
      </c>
    </row>
    <row r="57" spans="2:20" outlineLevel="1">
      <c r="B57" s="59" t="s">
        <v>30</v>
      </c>
      <c r="C57" s="87">
        <f>'DM_04_Kraje výkony CVD,PAD'!V55</f>
        <v>338376593.44807261</v>
      </c>
      <c r="D57" s="87">
        <f>'DM_04_Kraje výkony CVD,PAD'!W55</f>
        <v>331039000</v>
      </c>
      <c r="E57" s="87">
        <f>'DM_04_Kraje výkony CVD,PAD'!X55</f>
        <v>330462000</v>
      </c>
      <c r="F57" s="87">
        <f>'DM_04_Kraje výkony CVD,PAD'!Y55</f>
        <v>324933000</v>
      </c>
      <c r="G57" s="87">
        <f>'DM_04_Kraje výkony CVD,PAD'!Z55</f>
        <v>210064000</v>
      </c>
      <c r="H57" s="87">
        <f>'DM_04_Kraje výkony CVD,PAD'!AA55</f>
        <v>211912000</v>
      </c>
      <c r="I57" s="87">
        <f>'DM_04_Kraje výkony CVD,PAD'!AB55</f>
        <v>274964000</v>
      </c>
      <c r="J57" s="110">
        <f>'DM_04_Kraje výkony CVD,PAD'!AE55</f>
        <v>301746126.2640751</v>
      </c>
      <c r="K57" s="110">
        <f>'DM_04_Kraje výkony CVD,PAD'!AF55</f>
        <v>301746126.2640751</v>
      </c>
      <c r="L57" s="110">
        <f>'DM_04_Kraje výkony CVD,PAD'!AG55</f>
        <v>297706870.68431443</v>
      </c>
      <c r="M57" s="110">
        <f>'DM_04_Kraje výkony CVD,PAD'!AH55</f>
        <v>293721685.67652971</v>
      </c>
      <c r="N57" s="110">
        <f>'DM_04_Kraje výkony CVD,PAD'!AI55</f>
        <v>289789847.43736261</v>
      </c>
      <c r="O57" s="110">
        <f>'DM_04_Kraje výkony CVD,PAD'!AJ55</f>
        <v>285910641.85248309</v>
      </c>
      <c r="P57" s="110">
        <f>'DM_04_Kraje výkony CVD,PAD'!AK55</f>
        <v>282083364.36688942</v>
      </c>
      <c r="Q57" s="110">
        <f>'DM_04_Kraje výkony CVD,PAD'!AL55</f>
        <v>278307319.85694444</v>
      </c>
      <c r="R57" s="110">
        <f>'DM_04_Kraje výkony CVD,PAD'!AM55</f>
        <v>274581822.50412476</v>
      </c>
      <c r="S57" s="110">
        <f>'DM_04_Kraje výkony CVD,PAD'!AN55</f>
        <v>270906195.67045993</v>
      </c>
      <c r="T57" s="110">
        <f>'DM_04_Kraje výkony CVD,PAD'!AO55</f>
        <v>267279771.77563915</v>
      </c>
    </row>
    <row r="58" spans="2:20" outlineLevel="1">
      <c r="B58" s="59" t="s">
        <v>18</v>
      </c>
      <c r="C58" s="87">
        <f>'DM_04_Kraje výkony CVD,PAD'!V56</f>
        <v>476117497.70296037</v>
      </c>
      <c r="D58" s="87">
        <f>'DM_04_Kraje výkony CVD,PAD'!W56</f>
        <v>700209305.61791301</v>
      </c>
      <c r="E58" s="87">
        <f>'DM_04_Kraje výkony CVD,PAD'!X56</f>
        <v>932991654.56003845</v>
      </c>
      <c r="F58" s="87">
        <f>'DM_04_Kraje výkony CVD,PAD'!Y56</f>
        <v>962787795.22463048</v>
      </c>
      <c r="G58" s="87">
        <f>'DM_04_Kraje výkony CVD,PAD'!Z56</f>
        <v>425215757.400949</v>
      </c>
      <c r="H58" s="87">
        <f>'DM_04_Kraje výkony CVD,PAD'!AA56</f>
        <v>306651947.67309314</v>
      </c>
      <c r="I58" s="87">
        <f>'DM_04_Kraje výkony CVD,PAD'!AB56</f>
        <v>369347993.65483886</v>
      </c>
      <c r="J58" s="110">
        <f>'DM_04_Kraje výkony CVD,PAD'!AE56</f>
        <v>405323338.06882292</v>
      </c>
      <c r="K58" s="110">
        <f>'DM_04_Kraje výkony CVD,PAD'!AF56</f>
        <v>405323338.06882292</v>
      </c>
      <c r="L58" s="110">
        <f>'DM_04_Kraje výkony CVD,PAD'!AG56</f>
        <v>411460048.12104541</v>
      </c>
      <c r="M58" s="110">
        <f>'DM_04_Kraje výkony CVD,PAD'!AH56</f>
        <v>417689669.70025885</v>
      </c>
      <c r="N58" s="110">
        <f>'DM_04_Kraje výkony CVD,PAD'!AI56</f>
        <v>424013609.51327753</v>
      </c>
      <c r="O58" s="110">
        <f>'DM_04_Kraje výkony CVD,PAD'!AJ56</f>
        <v>430433295.5648551</v>
      </c>
      <c r="P58" s="110">
        <f>'DM_04_Kraje výkony CVD,PAD'!AK56</f>
        <v>436950177.48014116</v>
      </c>
      <c r="Q58" s="110">
        <f>'DM_04_Kraje výkony CVD,PAD'!AL56</f>
        <v>443565726.83202052</v>
      </c>
      <c r="R58" s="110">
        <f>'DM_04_Kraje výkony CVD,PAD'!AM56</f>
        <v>450281437.47340786</v>
      </c>
      <c r="S58" s="110">
        <f>'DM_04_Kraje výkony CVD,PAD'!AN56</f>
        <v>457098825.87457383</v>
      </c>
      <c r="T58" s="110">
        <f>'DM_04_Kraje výkony CVD,PAD'!AO56</f>
        <v>464019431.46557808</v>
      </c>
    </row>
    <row r="59" spans="2:20" outlineLevel="1">
      <c r="B59" s="59" t="s">
        <v>38</v>
      </c>
      <c r="C59" s="87">
        <f>'DM_04_Kraje výkony CVD,PAD'!V57</f>
        <v>257612466.16261873</v>
      </c>
      <c r="D59" s="87">
        <f>'DM_04_Kraje výkony CVD,PAD'!W57</f>
        <v>248301172.2049337</v>
      </c>
      <c r="E59" s="87">
        <f>'DM_04_Kraje výkony CVD,PAD'!X57</f>
        <v>237748372.38622403</v>
      </c>
      <c r="F59" s="87">
        <f>'DM_04_Kraje výkony CVD,PAD'!Y57</f>
        <v>241472889.96929803</v>
      </c>
      <c r="G59" s="87">
        <f>'DM_04_Kraje výkony CVD,PAD'!Z57</f>
        <v>140910915.22629988</v>
      </c>
      <c r="H59" s="87">
        <f>'DM_04_Kraje výkony CVD,PAD'!AA57</f>
        <v>127875103.68554085</v>
      </c>
      <c r="I59" s="87">
        <f>'DM_04_Kraje výkony CVD,PAD'!AB57</f>
        <v>181880608.64011395</v>
      </c>
      <c r="J59" s="110">
        <f>'DM_04_Kraje výkony CVD,PAD'!AE57</f>
        <v>199596198.41036156</v>
      </c>
      <c r="K59" s="110">
        <f>'DM_04_Kraje výkony CVD,PAD'!AF57</f>
        <v>199596198.41036156</v>
      </c>
      <c r="L59" s="110">
        <f>'DM_04_Kraje výkony CVD,PAD'!AG57</f>
        <v>202618141.34364086</v>
      </c>
      <c r="M59" s="110">
        <f>'DM_04_Kraje výkony CVD,PAD'!AH57</f>
        <v>205685837.34819472</v>
      </c>
      <c r="N59" s="110">
        <f>'DM_04_Kraje výkony CVD,PAD'!AI57</f>
        <v>208799979.13847116</v>
      </c>
      <c r="O59" s="110">
        <f>'DM_04_Kraje výkony CVD,PAD'!AJ57</f>
        <v>211961269.91681102</v>
      </c>
      <c r="P59" s="110">
        <f>'DM_04_Kraje výkony CVD,PAD'!AK57</f>
        <v>215170423.53223762</v>
      </c>
      <c r="Q59" s="110">
        <f>'DM_04_Kraje výkony CVD,PAD'!AL57</f>
        <v>218428164.6416505</v>
      </c>
      <c r="R59" s="110">
        <f>'DM_04_Kraje výkony CVD,PAD'!AM57</f>
        <v>221735228.87345973</v>
      </c>
      <c r="S59" s="110">
        <f>'DM_04_Kraje výkony CVD,PAD'!AN57</f>
        <v>225092362.99369773</v>
      </c>
      <c r="T59" s="110">
        <f>'DM_04_Kraje výkony CVD,PAD'!AO57</f>
        <v>228500325.07464603</v>
      </c>
    </row>
    <row r="60" spans="2:20" outlineLevel="1">
      <c r="B60" s="59" t="s">
        <v>28</v>
      </c>
      <c r="C60" s="87">
        <f>'DM_04_Kraje výkony CVD,PAD'!V58</f>
        <v>365002723.14125258</v>
      </c>
      <c r="D60" s="87">
        <f>'DM_04_Kraje výkony CVD,PAD'!W58</f>
        <v>328378300.24102485</v>
      </c>
      <c r="E60" s="87">
        <f>'DM_04_Kraje výkony CVD,PAD'!X58</f>
        <v>385487569.84815955</v>
      </c>
      <c r="F60" s="87">
        <f>'DM_04_Kraje výkony CVD,PAD'!Y58</f>
        <v>326516041.44948781</v>
      </c>
      <c r="G60" s="87">
        <f>'DM_04_Kraje výkony CVD,PAD'!Z58</f>
        <v>217884278.60982934</v>
      </c>
      <c r="H60" s="87">
        <f>'DM_04_Kraje výkony CVD,PAD'!AA58</f>
        <v>217263525.679317</v>
      </c>
      <c r="I60" s="87">
        <f>'DM_04_Kraje výkony CVD,PAD'!AB58</f>
        <v>229057831.35905135</v>
      </c>
      <c r="J60" s="110">
        <f>'DM_04_Kraje výkony CVD,PAD'!AE58</f>
        <v>251368591.17209354</v>
      </c>
      <c r="K60" s="110">
        <f>'DM_04_Kraje výkony CVD,PAD'!AF58</f>
        <v>251368591.17209354</v>
      </c>
      <c r="L60" s="110">
        <f>'DM_04_Kraje výkony CVD,PAD'!AG58</f>
        <v>255174382.78431219</v>
      </c>
      <c r="M60" s="110">
        <f>'DM_04_Kraje výkony CVD,PAD'!AH58</f>
        <v>259037795.15864792</v>
      </c>
      <c r="N60" s="110">
        <f>'DM_04_Kraje výkony CVD,PAD'!AI58</f>
        <v>262959700.68974692</v>
      </c>
      <c r="O60" s="110">
        <f>'DM_04_Kraje výkony CVD,PAD'!AJ58</f>
        <v>266940984.9805572</v>
      </c>
      <c r="P60" s="110">
        <f>'DM_04_Kraje výkony CVD,PAD'!AK58</f>
        <v>270982547.04230607</v>
      </c>
      <c r="Q60" s="110">
        <f>'DM_04_Kraje výkony CVD,PAD'!AL58</f>
        <v>275085299.49750519</v>
      </c>
      <c r="R60" s="110">
        <f>'DM_04_Kraje výkony CVD,PAD'!AM58</f>
        <v>279250168.78602946</v>
      </c>
      <c r="S60" s="110">
        <f>'DM_04_Kraje výkony CVD,PAD'!AN58</f>
        <v>283478095.37431556</v>
      </c>
      <c r="T60" s="110">
        <f>'DM_04_Kraje výkony CVD,PAD'!AO58</f>
        <v>287770033.96772826</v>
      </c>
    </row>
    <row r="61" spans="2:20" outlineLevel="1">
      <c r="B61" s="59" t="s">
        <v>34</v>
      </c>
      <c r="C61" s="87">
        <f>'DM_04_Kraje výkony CVD,PAD'!V59</f>
        <v>277476559.93901342</v>
      </c>
      <c r="D61" s="87">
        <f>'DM_04_Kraje výkony CVD,PAD'!W59</f>
        <v>272510536.49491477</v>
      </c>
      <c r="E61" s="87">
        <f>'DM_04_Kraje výkony CVD,PAD'!X59</f>
        <v>268165265.9813284</v>
      </c>
      <c r="F61" s="87">
        <f>'DM_04_Kraje výkony CVD,PAD'!Y59</f>
        <v>265682254.25927907</v>
      </c>
      <c r="G61" s="87">
        <f>'DM_04_Kraje výkony CVD,PAD'!Z59</f>
        <v>163258020.7247439</v>
      </c>
      <c r="H61" s="87">
        <f>'DM_04_Kraje výkony CVD,PAD'!AA59</f>
        <v>145256185.73988622</v>
      </c>
      <c r="I61" s="87">
        <f>'DM_04_Kraje výkony CVD,PAD'!AB59</f>
        <v>194295667.25036064</v>
      </c>
      <c r="J61" s="110">
        <f>'DM_04_Kraje výkony CVD,PAD'!AE59</f>
        <v>213220512.29502788</v>
      </c>
      <c r="K61" s="110">
        <f>'DM_04_Kraje výkony CVD,PAD'!AF59</f>
        <v>213220512.29502788</v>
      </c>
      <c r="L61" s="110">
        <f>'DM_04_Kraje výkony CVD,PAD'!AG59</f>
        <v>216448731.19644913</v>
      </c>
      <c r="M61" s="110">
        <f>'DM_04_Kraje výkony CVD,PAD'!AH59</f>
        <v>219725826.24568242</v>
      </c>
      <c r="N61" s="110">
        <f>'DM_04_Kraje výkony CVD,PAD'!AI59</f>
        <v>223052537.44143847</v>
      </c>
      <c r="O61" s="110">
        <f>'DM_04_Kraje výkony CVD,PAD'!AJ59</f>
        <v>226429615.98621792</v>
      </c>
      <c r="P61" s="110">
        <f>'DM_04_Kraje výkony CVD,PAD'!AK59</f>
        <v>229857824.45593983</v>
      </c>
      <c r="Q61" s="110">
        <f>'DM_04_Kraje výkony CVD,PAD'!AL59</f>
        <v>233337936.97213855</v>
      </c>
      <c r="R61" s="110">
        <f>'DM_04_Kraje výkony CVD,PAD'!AM59</f>
        <v>236870739.37676752</v>
      </c>
      <c r="S61" s="110">
        <f>'DM_04_Kraje výkony CVD,PAD'!AN59</f>
        <v>240457029.40964976</v>
      </c>
      <c r="T61" s="110">
        <f>'DM_04_Kraje výkony CVD,PAD'!AO59</f>
        <v>244097616.88861501</v>
      </c>
    </row>
    <row r="62" spans="2:20" outlineLevel="1">
      <c r="B62" s="59" t="s">
        <v>23</v>
      </c>
      <c r="C62" s="87">
        <f>'DM_04_Kraje výkony CVD,PAD'!V60</f>
        <v>275311563.49335676</v>
      </c>
      <c r="D62" s="87">
        <f>'DM_04_Kraje výkony CVD,PAD'!W60</f>
        <v>284354819</v>
      </c>
      <c r="E62" s="87">
        <f>'DM_04_Kraje výkony CVD,PAD'!X60</f>
        <v>274913009.57709104</v>
      </c>
      <c r="F62" s="87">
        <f>'DM_04_Kraje výkony CVD,PAD'!Y60</f>
        <v>278388401.21339118</v>
      </c>
      <c r="G62" s="87">
        <f>'DM_04_Kraje výkony CVD,PAD'!Z60</f>
        <v>183369075.17559963</v>
      </c>
      <c r="H62" s="87">
        <f>'DM_04_Kraje výkony CVD,PAD'!AA60</f>
        <v>204280166.06080419</v>
      </c>
      <c r="I62" s="87">
        <f>'DM_04_Kraje výkony CVD,PAD'!AB60</f>
        <v>265786864.66060847</v>
      </c>
      <c r="J62" s="110">
        <f>'DM_04_Kraje výkony CVD,PAD'!AE60</f>
        <v>291675116.82697594</v>
      </c>
      <c r="K62" s="110">
        <f>'DM_04_Kraje výkony CVD,PAD'!AF60</f>
        <v>291675116.82697594</v>
      </c>
      <c r="L62" s="110">
        <f>'DM_04_Kraje výkony CVD,PAD'!AG60</f>
        <v>292869508.34164459</v>
      </c>
      <c r="M62" s="110">
        <f>'DM_04_Kraje výkony CVD,PAD'!AH60</f>
        <v>294068790.81549352</v>
      </c>
      <c r="N62" s="110">
        <f>'DM_04_Kraje výkony CVD,PAD'!AI60</f>
        <v>295272984.27669728</v>
      </c>
      <c r="O62" s="110">
        <f>'DM_04_Kraje výkony CVD,PAD'!AJ60</f>
        <v>296482108.83544451</v>
      </c>
      <c r="P62" s="110">
        <f>'DM_04_Kraje výkony CVD,PAD'!AK60</f>
        <v>297696184.6842739</v>
      </c>
      <c r="Q62" s="110">
        <f>'DM_04_Kraje výkony CVD,PAD'!AL60</f>
        <v>298915232.0984112</v>
      </c>
      <c r="R62" s="110">
        <f>'DM_04_Kraje výkony CVD,PAD'!AM60</f>
        <v>300139271.43610805</v>
      </c>
      <c r="S62" s="110">
        <f>'DM_04_Kraje výkony CVD,PAD'!AN60</f>
        <v>301368323.13898188</v>
      </c>
      <c r="T62" s="110">
        <f>'DM_04_Kraje výkony CVD,PAD'!AO60</f>
        <v>302602407.7323572</v>
      </c>
    </row>
    <row r="63" spans="2:20" outlineLevel="1">
      <c r="B63" s="59" t="s">
        <v>20</v>
      </c>
      <c r="C63" s="87">
        <f>'DM_04_Kraje výkony CVD,PAD'!V61</f>
        <v>178901891.02941176</v>
      </c>
      <c r="D63" s="87">
        <f>'DM_04_Kraje výkony CVD,PAD'!W61</f>
        <v>221682778.0147059</v>
      </c>
      <c r="E63" s="87">
        <f>'DM_04_Kraje výkony CVD,PAD'!X61</f>
        <v>198736665.90441176</v>
      </c>
      <c r="F63" s="87">
        <f>'DM_04_Kraje výkony CVD,PAD'!Y61</f>
        <v>211570932</v>
      </c>
      <c r="G63" s="87">
        <f>'DM_04_Kraje výkony CVD,PAD'!Z61</f>
        <v>133983946</v>
      </c>
      <c r="H63" s="87">
        <f>'DM_04_Kraje výkony CVD,PAD'!AA61</f>
        <v>131479397</v>
      </c>
      <c r="I63" s="87">
        <f>'DM_04_Kraje výkony CVD,PAD'!AB61</f>
        <v>178469412</v>
      </c>
      <c r="J63" s="110">
        <f>'DM_04_Kraje výkony CVD,PAD'!AE61</f>
        <v>191549922</v>
      </c>
      <c r="K63" s="110">
        <f>'DM_04_Kraje výkony CVD,PAD'!AF61</f>
        <v>191549922</v>
      </c>
      <c r="L63" s="110">
        <f>'DM_04_Kraje výkony CVD,PAD'!AG61</f>
        <v>204332745.48651737</v>
      </c>
      <c r="M63" s="110">
        <f>'DM_04_Kraje výkony CVD,PAD'!AH61</f>
        <v>217968613.3104136</v>
      </c>
      <c r="N63" s="110">
        <f>'DM_04_Kraje výkony CVD,PAD'!AI61</f>
        <v>232514452.22517952</v>
      </c>
      <c r="O63" s="110">
        <f>'DM_04_Kraje výkony CVD,PAD'!AJ61</f>
        <v>248030987.91376489</v>
      </c>
      <c r="P63" s="110">
        <f>'DM_04_Kraje výkony CVD,PAD'!AK61</f>
        <v>264582998.50496826</v>
      </c>
      <c r="Q63" s="110">
        <f>'DM_04_Kraje výkony CVD,PAD'!AL61</f>
        <v>282239585.00789827</v>
      </c>
      <c r="R63" s="110">
        <f>'DM_04_Kraje výkony CVD,PAD'!AM61</f>
        <v>301074459.79351097</v>
      </c>
      <c r="S63" s="110">
        <f>'DM_04_Kraje výkony CVD,PAD'!AN61</f>
        <v>321166254.32756996</v>
      </c>
      <c r="T63" s="110">
        <f>'DM_04_Kraje výkony CVD,PAD'!AO61</f>
        <v>342598847.4397471</v>
      </c>
    </row>
    <row r="64" spans="2:20" outlineLevel="1">
      <c r="B64" s="59" t="s">
        <v>26</v>
      </c>
      <c r="C64" s="87">
        <f>'DM_04_Kraje výkony CVD,PAD'!V62</f>
        <v>326509428.03973514</v>
      </c>
      <c r="D64" s="87">
        <f>'DM_04_Kraje výkony CVD,PAD'!W62</f>
        <v>321419080.60927153</v>
      </c>
      <c r="E64" s="87">
        <f>'DM_04_Kraje výkony CVD,PAD'!X62</f>
        <v>330145390.49006623</v>
      </c>
      <c r="F64" s="87">
        <f>'DM_04_Kraje výkony CVD,PAD'!Y62</f>
        <v>329418198</v>
      </c>
      <c r="G64" s="87">
        <f>'DM_04_Kraje výkony CVD,PAD'!Z62</f>
        <v>206315367</v>
      </c>
      <c r="H64" s="87">
        <f>'DM_04_Kraje výkony CVD,PAD'!AA62</f>
        <v>220131974</v>
      </c>
      <c r="I64" s="87">
        <f>'DM_04_Kraje výkony CVD,PAD'!AB62</f>
        <v>291945139</v>
      </c>
      <c r="J64" s="110">
        <f>'DM_04_Kraje výkony CVD,PAD'!AE62</f>
        <v>327419940</v>
      </c>
      <c r="K64" s="110">
        <f>'DM_04_Kraje výkony CVD,PAD'!AF62</f>
        <v>327419940</v>
      </c>
      <c r="L64" s="110">
        <f>'DM_04_Kraje výkony CVD,PAD'!AG62</f>
        <v>328441105.78356171</v>
      </c>
      <c r="M64" s="110">
        <f>'DM_04_Kraje výkony CVD,PAD'!AH62</f>
        <v>329465456.40540028</v>
      </c>
      <c r="N64" s="110">
        <f>'DM_04_Kraje výkony CVD,PAD'!AI62</f>
        <v>330493001.79847175</v>
      </c>
      <c r="O64" s="110">
        <f>'DM_04_Kraje výkony CVD,PAD'!AJ62</f>
        <v>331523751.92671138</v>
      </c>
      <c r="P64" s="110">
        <f>'DM_04_Kraje výkony CVD,PAD'!AK62</f>
        <v>332557716.78513008</v>
      </c>
      <c r="Q64" s="110">
        <f>'DM_04_Kraje výkony CVD,PAD'!AL62</f>
        <v>333594906.39991158</v>
      </c>
      <c r="R64" s="110">
        <f>'DM_04_Kraje výkony CVD,PAD'!AM62</f>
        <v>334635330.82850951</v>
      </c>
      <c r="S64" s="110">
        <f>'DM_04_Kraje výkony CVD,PAD'!AN62</f>
        <v>335679000.15974492</v>
      </c>
      <c r="T64" s="110">
        <f>'DM_04_Kraje výkony CVD,PAD'!AO62</f>
        <v>336725924.51390409</v>
      </c>
    </row>
    <row r="65" spans="2:20">
      <c r="B65" s="22" t="s">
        <v>270</v>
      </c>
      <c r="C65" s="88">
        <f t="shared" ref="C65:T65" si="13">SUM(C66:C73)</f>
        <v>0</v>
      </c>
      <c r="D65" s="88">
        <f t="shared" si="13"/>
        <v>95342390.13026008</v>
      </c>
      <c r="E65" s="88">
        <f t="shared" si="13"/>
        <v>95240423.25608474</v>
      </c>
      <c r="F65" s="88">
        <f t="shared" si="13"/>
        <v>91027427.256589964</v>
      </c>
      <c r="G65" s="88">
        <f t="shared" si="13"/>
        <v>63371998.388920151</v>
      </c>
      <c r="H65" s="88">
        <f t="shared" si="13"/>
        <v>66400960.370678633</v>
      </c>
      <c r="I65" s="88">
        <f t="shared" si="13"/>
        <v>81344656.445800215</v>
      </c>
      <c r="J65" s="88">
        <f t="shared" si="13"/>
        <v>88937380.926704958</v>
      </c>
      <c r="K65" s="88">
        <f t="shared" si="13"/>
        <v>88937380.926704958</v>
      </c>
      <c r="L65" s="88">
        <f t="shared" si="13"/>
        <v>87580727.345705628</v>
      </c>
      <c r="M65" s="88">
        <f t="shared" si="13"/>
        <v>86244768.200720251</v>
      </c>
      <c r="N65" s="88">
        <f t="shared" si="13"/>
        <v>84929187.818176836</v>
      </c>
      <c r="O65" s="88">
        <f t="shared" si="13"/>
        <v>83633675.339797795</v>
      </c>
      <c r="P65" s="88">
        <f t="shared" si="13"/>
        <v>82357924.649147496</v>
      </c>
      <c r="Q65" s="88">
        <f t="shared" si="13"/>
        <v>81101634.299299896</v>
      </c>
      <c r="R65" s="88">
        <f t="shared" si="13"/>
        <v>79864507.441609755</v>
      </c>
      <c r="S65" s="88">
        <f t="shared" si="13"/>
        <v>78646251.755570382</v>
      </c>
      <c r="T65" s="88">
        <f t="shared" si="13"/>
        <v>77446579.379741147</v>
      </c>
    </row>
    <row r="66" spans="2:20" outlineLevel="1">
      <c r="B66" s="59" t="s">
        <v>30</v>
      </c>
      <c r="C66" s="88">
        <f>'DM_08_Kraje tržby PAD'!V6</f>
        <v>0</v>
      </c>
      <c r="D66" s="87">
        <f>'DM_08_Kraje tržby PAD'!W6</f>
        <v>12955026</v>
      </c>
      <c r="E66" s="87">
        <f>'DM_08_Kraje tržby PAD'!X6</f>
        <v>12832239.16</v>
      </c>
      <c r="F66" s="87">
        <f>'DM_08_Kraje tržby PAD'!Y6</f>
        <v>12661824.41</v>
      </c>
      <c r="G66" s="87">
        <f>'DM_08_Kraje tržby PAD'!Z6</f>
        <v>8503182.2100000009</v>
      </c>
      <c r="H66" s="87">
        <f>'DM_08_Kraje tržby PAD'!AA6</f>
        <v>8542779.9299999997</v>
      </c>
      <c r="I66" s="87">
        <f>'DM_08_Kraje tržby PAD'!AB6</f>
        <v>10670100.280000001</v>
      </c>
      <c r="J66" s="110">
        <f>'DM_08_Kraje tržby PAD'!AE6</f>
        <v>11586589.525599727</v>
      </c>
      <c r="K66" s="110">
        <f>'DM_08_Kraje tržby PAD'!AF6</f>
        <v>11586589.525599727</v>
      </c>
      <c r="L66" s="110">
        <f>'DM_08_Kraje tržby PAD'!AG6</f>
        <v>11409847.32780071</v>
      </c>
      <c r="M66" s="110">
        <f>'DM_08_Kraje tržby PAD'!AH6</f>
        <v>11235801.160996299</v>
      </c>
      <c r="N66" s="110">
        <f>'DM_08_Kraje tržby PAD'!AI6</f>
        <v>11064409.899845667</v>
      </c>
      <c r="O66" s="110">
        <f>'DM_08_Kraje tržby PAD'!AJ6</f>
        <v>10895633.046335211</v>
      </c>
      <c r="P66" s="110">
        <f>'DM_08_Kraje tržby PAD'!AK6</f>
        <v>10729430.720209291</v>
      </c>
      <c r="Q66" s="110">
        <f>'DM_08_Kraje tržby PAD'!AL6</f>
        <v>10565763.649546931</v>
      </c>
      <c r="R66" s="110">
        <f>'DM_08_Kraje tržby PAD'!AM6</f>
        <v>10404593.16148226</v>
      </c>
      <c r="S66" s="110">
        <f>'DM_08_Kraje tržby PAD'!AN6</f>
        <v>10245881.173066512</v>
      </c>
      <c r="T66" s="110">
        <f>'DM_08_Kraje tržby PAD'!AO6</f>
        <v>10089590.182269406</v>
      </c>
    </row>
    <row r="67" spans="2:20" outlineLevel="1">
      <c r="B67" s="59" t="s">
        <v>18</v>
      </c>
      <c r="C67" s="88">
        <f>'DM_08_Kraje tržby PAD'!V7</f>
        <v>0</v>
      </c>
      <c r="D67" s="87">
        <f>'DM_08_Kraje tržby PAD'!W7</f>
        <v>16780921.152978782</v>
      </c>
      <c r="E67" s="87">
        <f>'DM_08_Kraje tržby PAD'!X7</f>
        <v>18377003.204172336</v>
      </c>
      <c r="F67" s="87">
        <f>'DM_08_Kraje tržby PAD'!Y7</f>
        <v>18114987.191573545</v>
      </c>
      <c r="G67" s="87">
        <f>'DM_08_Kraje tržby PAD'!Z7</f>
        <v>13323437.170688502</v>
      </c>
      <c r="H67" s="87">
        <f>'DM_08_Kraje tržby PAD'!AA7</f>
        <v>14709641.29173737</v>
      </c>
      <c r="I67" s="87">
        <f>'DM_08_Kraje tržby PAD'!AB7</f>
        <v>16211799.791884447</v>
      </c>
      <c r="J67" s="110">
        <f>'DM_08_Kraje tržby PAD'!AE7</f>
        <v>17604283.439758651</v>
      </c>
      <c r="K67" s="110">
        <f>'DM_08_Kraje tržby PAD'!AF7</f>
        <v>17604283.439758651</v>
      </c>
      <c r="L67" s="110">
        <f>'DM_08_Kraje tržby PAD'!AG7</f>
        <v>17335747.151410352</v>
      </c>
      <c r="M67" s="110">
        <f>'DM_08_Kraje tržby PAD'!AH7</f>
        <v>17071307.123975296</v>
      </c>
      <c r="N67" s="110">
        <f>'DM_08_Kraje tržby PAD'!AI7</f>
        <v>16810900.872961819</v>
      </c>
      <c r="O67" s="110">
        <f>'DM_08_Kraje tržby PAD'!AJ7</f>
        <v>16554466.867018649</v>
      </c>
      <c r="P67" s="110">
        <f>'DM_08_Kraje tržby PAD'!AK7</f>
        <v>16301944.513395661</v>
      </c>
      <c r="Q67" s="110">
        <f>'DM_08_Kraje tržby PAD'!AL7</f>
        <v>16053274.143626429</v>
      </c>
      <c r="R67" s="110">
        <f>'DM_08_Kraje tržby PAD'!AM7</f>
        <v>15808396.999429174</v>
      </c>
      <c r="S67" s="110">
        <f>'DM_08_Kraje tržby PAD'!AN7</f>
        <v>15567255.218822779</v>
      </c>
      <c r="T67" s="110">
        <f>'DM_08_Kraje tržby PAD'!AO7</f>
        <v>15329791.822454592</v>
      </c>
    </row>
    <row r="68" spans="2:20" outlineLevel="1">
      <c r="B68" s="59" t="s">
        <v>38</v>
      </c>
      <c r="C68" s="88">
        <f>'DM_08_Kraje tržby PAD'!V8</f>
        <v>0</v>
      </c>
      <c r="D68" s="110">
        <f>'DM_08_Kraje tržby PAD'!W8</f>
        <v>8679495.552674165</v>
      </c>
      <c r="E68" s="110">
        <f>'DM_08_Kraje tržby PAD'!X8</f>
        <v>8789550.1125262007</v>
      </c>
      <c r="F68" s="110">
        <f>'DM_08_Kraje tržby PAD'!Y8</f>
        <v>8631579.1089131646</v>
      </c>
      <c r="G68" s="110">
        <f>'DM_08_Kraje tržby PAD'!Z8</f>
        <v>5807120.7736027045</v>
      </c>
      <c r="H68" s="110">
        <f>'DM_08_Kraje tržby PAD'!AA8</f>
        <v>5497660.7758860933</v>
      </c>
      <c r="I68" s="110">
        <f>'DM_08_Kraje tržby PAD'!AB8</f>
        <v>7459873.6872302499</v>
      </c>
      <c r="J68" s="110">
        <f>'DM_08_Kraje tržby PAD'!AE8</f>
        <v>8100626.2414207626</v>
      </c>
      <c r="K68" s="110">
        <f>'DM_08_Kraje tržby PAD'!AF8</f>
        <v>8100626.2414207626</v>
      </c>
      <c r="L68" s="110">
        <f>'DM_08_Kraje tržby PAD'!AG8</f>
        <v>7977059.0362225613</v>
      </c>
      <c r="M68" s="110">
        <f>'DM_08_Kraje tržby PAD'!AH8</f>
        <v>7855376.7290242733</v>
      </c>
      <c r="N68" s="110">
        <f>'DM_08_Kraje tržby PAD'!AI8</f>
        <v>7735550.5675330516</v>
      </c>
      <c r="O68" s="110">
        <f>'DM_08_Kraje tržby PAD'!AJ8</f>
        <v>7617552.2380444203</v>
      </c>
      <c r="P68" s="110">
        <f>'DM_08_Kraje tržby PAD'!AK8</f>
        <v>7501353.8587520365</v>
      </c>
      <c r="Q68" s="110">
        <f>'DM_08_Kraje tržby PAD'!AL8</f>
        <v>7386927.9731594976</v>
      </c>
      <c r="R68" s="110">
        <f>'DM_08_Kraje tržby PAD'!AM8</f>
        <v>7274247.5435926551</v>
      </c>
      <c r="S68" s="110">
        <f>'DM_08_Kraje tržby PAD'!AN8</f>
        <v>7163285.9448108831</v>
      </c>
      <c r="T68" s="110">
        <f>'DM_08_Kraje tržby PAD'!AO8</f>
        <v>7054016.9577158075</v>
      </c>
    </row>
    <row r="69" spans="2:20" outlineLevel="1">
      <c r="B69" s="59" t="s">
        <v>28</v>
      </c>
      <c r="C69" s="88">
        <f>'DM_08_Kraje tržby PAD'!V9</f>
        <v>0</v>
      </c>
      <c r="D69" s="87">
        <f>'DM_08_Kraje tržby PAD'!W9</f>
        <v>10779503.135000002</v>
      </c>
      <c r="E69" s="87">
        <f>'DM_08_Kraje tržby PAD'!X9</f>
        <v>10429794.870096665</v>
      </c>
      <c r="F69" s="87">
        <f>'DM_08_Kraje tržby PAD'!Y9</f>
        <v>10216322.829999998</v>
      </c>
      <c r="G69" s="87">
        <f>'DM_08_Kraje tržby PAD'!Z9</f>
        <v>6980978.7100000009</v>
      </c>
      <c r="H69" s="87">
        <f>'DM_08_Kraje tržby PAD'!AA9</f>
        <v>7252348.8500000034</v>
      </c>
      <c r="I69" s="87">
        <f>'DM_08_Kraje tržby PAD'!AB9</f>
        <v>9450228.9899999984</v>
      </c>
      <c r="J69" s="87">
        <f>'DM_08_Kraje tržby PAD'!AE9</f>
        <v>9575717.5399999954</v>
      </c>
      <c r="K69" s="110">
        <f>'DM_08_Kraje tržby PAD'!AF9</f>
        <v>9575717.5399999954</v>
      </c>
      <c r="L69" s="110">
        <f>'DM_08_Kraje tržby PAD'!AG9</f>
        <v>9429649.2461519316</v>
      </c>
      <c r="M69" s="110">
        <f>'DM_08_Kraje tržby PAD'!AH9</f>
        <v>9285809.0826114453</v>
      </c>
      <c r="N69" s="110">
        <f>'DM_08_Kraje tržby PAD'!AI9</f>
        <v>9144163.061409371</v>
      </c>
      <c r="O69" s="110">
        <f>'DM_08_Kraje tržby PAD'!AJ9</f>
        <v>9004677.7130300831</v>
      </c>
      <c r="P69" s="110">
        <f>'DM_08_Kraje tržby PAD'!AK9</f>
        <v>8867320.0785029903</v>
      </c>
      <c r="Q69" s="110">
        <f>'DM_08_Kraje tržby PAD'!AL9</f>
        <v>8732057.7016146667</v>
      </c>
      <c r="R69" s="110">
        <f>'DM_08_Kraje tržby PAD'!AM9</f>
        <v>8598858.6212397758</v>
      </c>
      <c r="S69" s="110">
        <f>'DM_08_Kraje tržby PAD'!AN9</f>
        <v>8467691.3637889866</v>
      </c>
      <c r="T69" s="110">
        <f>'DM_08_Kraje tržby PAD'!AO9</f>
        <v>8338524.935772079</v>
      </c>
    </row>
    <row r="70" spans="2:20" outlineLevel="1">
      <c r="B70" s="59" t="s">
        <v>34</v>
      </c>
      <c r="C70" s="88">
        <f>'DM_08_Kraje tržby PAD'!V10</f>
        <v>0</v>
      </c>
      <c r="D70" s="110">
        <f>'DM_08_Kraje tržby PAD'!W10</f>
        <v>9681734.9532229975</v>
      </c>
      <c r="E70" s="110">
        <f>'DM_08_Kraje tržby PAD'!X10</f>
        <v>9373945.2574896943</v>
      </c>
      <c r="F70" s="110">
        <f>'DM_08_Kraje tržby PAD'!Y10</f>
        <v>8975445.6461032573</v>
      </c>
      <c r="G70" s="110">
        <f>'DM_08_Kraje tržby PAD'!Z10</f>
        <v>6120019.3846289422</v>
      </c>
      <c r="H70" s="110">
        <f>'DM_08_Kraje tržby PAD'!AA10</f>
        <v>6683391.8030551663</v>
      </c>
      <c r="I70" s="110">
        <f>'DM_08_Kraje tržby PAD'!AB10</f>
        <v>8269362.3966855314</v>
      </c>
      <c r="J70" s="110">
        <f>'DM_08_Kraje tržby PAD'!AE10</f>
        <v>8979644.540775096</v>
      </c>
      <c r="K70" s="110">
        <f>'DM_08_Kraje tržby PAD'!AF10</f>
        <v>8979644.540775096</v>
      </c>
      <c r="L70" s="110">
        <f>'DM_08_Kraje tržby PAD'!AG10</f>
        <v>8842668.7630379107</v>
      </c>
      <c r="M70" s="110">
        <f>'DM_08_Kraje tržby PAD'!AH10</f>
        <v>8707782.4180841185</v>
      </c>
      <c r="N70" s="110">
        <f>'DM_08_Kraje tržby PAD'!AI10</f>
        <v>8574953.6336409096</v>
      </c>
      <c r="O70" s="110">
        <f>'DM_08_Kraje tržby PAD'!AJ10</f>
        <v>8444151.0236161165</v>
      </c>
      <c r="P70" s="110">
        <f>'DM_08_Kraje tržby PAD'!AK10</f>
        <v>8315343.6806820016</v>
      </c>
      <c r="Q70" s="110">
        <f>'DM_08_Kraje tržby PAD'!AL10</f>
        <v>8188501.1689721681</v>
      </c>
      <c r="R70" s="110">
        <f>'DM_08_Kraje tržby PAD'!AM10</f>
        <v>8063593.516889873</v>
      </c>
      <c r="S70" s="110">
        <f>'DM_08_Kraje tržby PAD'!AN10</f>
        <v>7940591.2100260453</v>
      </c>
      <c r="T70" s="110">
        <f>'DM_08_Kraje tržby PAD'!AO10</f>
        <v>7819465.1841853289</v>
      </c>
    </row>
    <row r="71" spans="2:20" outlineLevel="1">
      <c r="B71" s="59" t="s">
        <v>23</v>
      </c>
      <c r="C71" s="88">
        <f>'DM_08_Kraje tržby PAD'!V11</f>
        <v>0</v>
      </c>
      <c r="D71" s="87">
        <f>'DM_08_Kraje tržby PAD'!W11</f>
        <v>11883462.300000001</v>
      </c>
      <c r="E71" s="87">
        <f>'DM_08_Kraje tržby PAD'!X11</f>
        <v>11427887.689999999</v>
      </c>
      <c r="F71" s="87">
        <f>'DM_08_Kraje tržby PAD'!Y11</f>
        <v>11439167.07</v>
      </c>
      <c r="G71" s="87">
        <f>'DM_08_Kraje tržby PAD'!Z11</f>
        <v>7878049.1399999997</v>
      </c>
      <c r="H71" s="87">
        <f>'DM_08_Kraje tržby PAD'!AA11</f>
        <v>8636362.7199999988</v>
      </c>
      <c r="I71" s="87">
        <f>'DM_08_Kraje tržby PAD'!AB11</f>
        <v>10599397.299999999</v>
      </c>
      <c r="J71" s="110">
        <f>'DM_08_Kraje tržby PAD'!AE11</f>
        <v>11509813.639150729</v>
      </c>
      <c r="K71" s="110">
        <f>'DM_08_Kraje tržby PAD'!AF11</f>
        <v>11509813.639150729</v>
      </c>
      <c r="L71" s="110">
        <f>'DM_08_Kraje tržby PAD'!AG11</f>
        <v>11334242.583116852</v>
      </c>
      <c r="M71" s="110">
        <f>'DM_08_Kraje tržby PAD'!AH11</f>
        <v>11161349.693444591</v>
      </c>
      <c r="N71" s="110">
        <f>'DM_08_Kraje tržby PAD'!AI11</f>
        <v>10991094.117300782</v>
      </c>
      <c r="O71" s="110">
        <f>'DM_08_Kraje tržby PAD'!AJ11</f>
        <v>10823435.625022653</v>
      </c>
      <c r="P71" s="110">
        <f>'DM_08_Kraje tržby PAD'!AK11</f>
        <v>10658334.600611962</v>
      </c>
      <c r="Q71" s="110">
        <f>'DM_08_Kraje tržby PAD'!AL11</f>
        <v>10495752.032374138</v>
      </c>
      <c r="R71" s="110">
        <f>'DM_08_Kraje tržby PAD'!AM11</f>
        <v>10335649.503700214</v>
      </c>
      <c r="S71" s="110">
        <f>'DM_08_Kraje tržby PAD'!AN11</f>
        <v>10177989.183989374</v>
      </c>
      <c r="T71" s="110">
        <f>'DM_08_Kraje tržby PAD'!AO11</f>
        <v>10022733.81970997</v>
      </c>
    </row>
    <row r="72" spans="2:20" outlineLevel="1">
      <c r="B72" s="59" t="s">
        <v>20</v>
      </c>
      <c r="C72" s="88">
        <f>'DM_08_Kraje tržby PAD'!V12</f>
        <v>0</v>
      </c>
      <c r="D72" s="87">
        <f>'DM_08_Kraje tržby PAD'!W12</f>
        <v>8957622</v>
      </c>
      <c r="E72" s="87">
        <f>'DM_08_Kraje tržby PAD'!X12</f>
        <v>8611095</v>
      </c>
      <c r="F72" s="87">
        <f>'DM_08_Kraje tržby PAD'!Y12</f>
        <v>8460708</v>
      </c>
      <c r="G72" s="87">
        <f>'DM_08_Kraje tržby PAD'!Z12</f>
        <v>5303055</v>
      </c>
      <c r="H72" s="87">
        <f>'DM_08_Kraje tržby PAD'!AA12</f>
        <v>5349701</v>
      </c>
      <c r="I72" s="87">
        <f>'DM_08_Kraje tržby PAD'!AB12</f>
        <v>6695637</v>
      </c>
      <c r="J72" s="87">
        <f>'DM_08_Kraje tržby PAD'!AE12</f>
        <v>7690984</v>
      </c>
      <c r="K72" s="110">
        <f>'DM_08_Kraje tržby PAD'!AF12</f>
        <v>7690984</v>
      </c>
      <c r="L72" s="110">
        <f>'DM_08_Kraje tržby PAD'!AG12</f>
        <v>7573665.4903217414</v>
      </c>
      <c r="M72" s="110">
        <f>'DM_08_Kraje tržby PAD'!AH12</f>
        <v>7458136.5608471502</v>
      </c>
      <c r="N72" s="110">
        <f>'DM_08_Kraje tržby PAD'!AI12</f>
        <v>7344369.9132640157</v>
      </c>
      <c r="O72" s="110">
        <f>'DM_08_Kraje tržby PAD'!AJ12</f>
        <v>7232338.6656694328</v>
      </c>
      <c r="P72" s="110">
        <f>'DM_08_Kraje tržby PAD'!AK12</f>
        <v>7122016.3462178791</v>
      </c>
      <c r="Q72" s="110">
        <f>'DM_08_Kraje tržby PAD'!AL12</f>
        <v>7013376.8868661914</v>
      </c>
      <c r="R72" s="110">
        <f>'DM_08_Kraje tržby PAD'!AM12</f>
        <v>6906394.6172139477</v>
      </c>
      <c r="S72" s="110">
        <f>'DM_08_Kraje tržby PAD'!AN12</f>
        <v>6801044.2584378161</v>
      </c>
      <c r="T72" s="110">
        <f>'DM_08_Kraje tržby PAD'!AO12</f>
        <v>6697300.9173184214</v>
      </c>
    </row>
    <row r="73" spans="2:20" outlineLevel="1">
      <c r="B73" s="59" t="s">
        <v>26</v>
      </c>
      <c r="C73" s="88">
        <f>'DM_08_Kraje tržby PAD'!V13</f>
        <v>0</v>
      </c>
      <c r="D73" s="110">
        <f>'DM_08_Kraje tržby PAD'!W13</f>
        <v>15624625.036384137</v>
      </c>
      <c r="E73" s="110">
        <f>'DM_08_Kraje tržby PAD'!X13</f>
        <v>15398907.961799851</v>
      </c>
      <c r="F73" s="87">
        <f>'DM_08_Kraje tržby PAD'!Y13</f>
        <v>12527393</v>
      </c>
      <c r="G73" s="87">
        <f>'DM_08_Kraje tržby PAD'!Z13</f>
        <v>9456156</v>
      </c>
      <c r="H73" s="87">
        <f>'DM_08_Kraje tržby PAD'!AA13</f>
        <v>9729074</v>
      </c>
      <c r="I73" s="87">
        <f>'DM_08_Kraje tržby PAD'!AB13</f>
        <v>11988257</v>
      </c>
      <c r="J73" s="87">
        <f>'DM_08_Kraje tržby PAD'!AE13</f>
        <v>13889722</v>
      </c>
      <c r="K73" s="110">
        <f>'DM_08_Kraje tržby PAD'!AF13</f>
        <v>13889722</v>
      </c>
      <c r="L73" s="110">
        <f>'DM_08_Kraje tržby PAD'!AG13</f>
        <v>13677847.747643562</v>
      </c>
      <c r="M73" s="110">
        <f>'DM_08_Kraje tržby PAD'!AH13</f>
        <v>13469205.431737084</v>
      </c>
      <c r="N73" s="110">
        <f>'DM_08_Kraje tržby PAD'!AI13</f>
        <v>13263745.752221212</v>
      </c>
      <c r="O73" s="110">
        <f>'DM_08_Kraje tržby PAD'!AJ13</f>
        <v>13061420.161061235</v>
      </c>
      <c r="P73" s="110">
        <f>'DM_08_Kraje tržby PAD'!AK13</f>
        <v>12862180.850775676</v>
      </c>
      <c r="Q73" s="110">
        <f>'DM_08_Kraje tržby PAD'!AL13</f>
        <v>12665980.743139872</v>
      </c>
      <c r="R73" s="110">
        <f>'DM_08_Kraje tržby PAD'!AM13</f>
        <v>12472773.478061868</v>
      </c>
      <c r="S73" s="110">
        <f>'DM_08_Kraje tržby PAD'!AN13</f>
        <v>12282513.402627992</v>
      </c>
      <c r="T73" s="110">
        <f>'DM_08_Kraje tržby PAD'!AO13</f>
        <v>12095155.560315544</v>
      </c>
    </row>
    <row r="74" spans="2:20">
      <c r="B74" s="22" t="s">
        <v>882</v>
      </c>
      <c r="C74" s="514">
        <f t="shared" ref="C74:T74" si="14">C65/C29</f>
        <v>0</v>
      </c>
      <c r="D74" s="514">
        <f t="shared" si="14"/>
        <v>0.64074133287491442</v>
      </c>
      <c r="E74" s="514">
        <f t="shared" si="14"/>
        <v>0.64464730971990492</v>
      </c>
      <c r="F74" s="514">
        <f t="shared" si="14"/>
        <v>0.62331963258771117</v>
      </c>
      <c r="G74" s="514">
        <f t="shared" si="14"/>
        <v>0.68558498922492472</v>
      </c>
      <c r="H74" s="514">
        <f t="shared" si="14"/>
        <v>0.71481688788048936</v>
      </c>
      <c r="I74" s="514">
        <f t="shared" si="14"/>
        <v>0.68335037786123332</v>
      </c>
      <c r="J74" s="514">
        <f t="shared" si="14"/>
        <v>0.70927724653324187</v>
      </c>
      <c r="K74" s="514">
        <f t="shared" si="14"/>
        <v>0.70927724653324187</v>
      </c>
      <c r="L74" s="514">
        <f t="shared" si="14"/>
        <v>0.70726748420795216</v>
      </c>
      <c r="M74" s="514">
        <f t="shared" si="14"/>
        <v>0.69808624298269395</v>
      </c>
      <c r="N74" s="514">
        <f t="shared" si="14"/>
        <v>0.69577792938079397</v>
      </c>
      <c r="O74" s="514">
        <f t="shared" si="14"/>
        <v>0.69313666231835835</v>
      </c>
      <c r="P74" s="514">
        <f t="shared" si="14"/>
        <v>0.69015001609426818</v>
      </c>
      <c r="Q74" s="514">
        <f t="shared" si="14"/>
        <v>0.68680573915981447</v>
      </c>
      <c r="R74" s="514">
        <f t="shared" si="14"/>
        <v>0.68309185589221655</v>
      </c>
      <c r="S74" s="514">
        <f t="shared" si="14"/>
        <v>0.67899677867815944</v>
      </c>
      <c r="T74" s="514">
        <f t="shared" si="14"/>
        <v>0.67450943014067599</v>
      </c>
    </row>
    <row r="75" spans="2:20">
      <c r="B75" s="22" t="s">
        <v>1032</v>
      </c>
      <c r="C75" s="526">
        <f>C56/C29</f>
        <v>16.507216627067553</v>
      </c>
      <c r="D75" s="526">
        <f t="shared" ref="D75:T75" si="15">D56/D29</f>
        <v>18.198203802170163</v>
      </c>
      <c r="E75" s="526">
        <f t="shared" si="15"/>
        <v>20.026010508600873</v>
      </c>
      <c r="F75" s="526">
        <f t="shared" si="15"/>
        <v>20.137220473674745</v>
      </c>
      <c r="G75" s="526">
        <f t="shared" si="15"/>
        <v>18.185781238964271</v>
      </c>
      <c r="H75" s="526">
        <f t="shared" si="15"/>
        <v>16.845862094239408</v>
      </c>
      <c r="I75" s="526">
        <f t="shared" si="15"/>
        <v>16.681628211016182</v>
      </c>
      <c r="J75" s="526">
        <f t="shared" si="15"/>
        <v>17.400690544812235</v>
      </c>
      <c r="K75" s="526">
        <f t="shared" si="15"/>
        <v>17.400690544812235</v>
      </c>
      <c r="L75" s="526">
        <f t="shared" si="15"/>
        <v>17.839430752702782</v>
      </c>
      <c r="M75" s="526">
        <f t="shared" si="15"/>
        <v>18.109768678313216</v>
      </c>
      <c r="N75" s="526">
        <f t="shared" si="15"/>
        <v>18.571427842542207</v>
      </c>
      <c r="O75" s="526">
        <f t="shared" si="15"/>
        <v>19.042913940501087</v>
      </c>
      <c r="P75" s="526">
        <f t="shared" si="15"/>
        <v>19.524139054755882</v>
      </c>
      <c r="Q75" s="526">
        <f t="shared" si="15"/>
        <v>20.014980453030031</v>
      </c>
      <c r="R75" s="526">
        <f t="shared" si="15"/>
        <v>20.515278096341635</v>
      </c>
      <c r="S75" s="526">
        <f t="shared" si="15"/>
        <v>21.024832225521074</v>
      </c>
      <c r="T75" s="526">
        <f t="shared" si="15"/>
        <v>21.543401074071063</v>
      </c>
    </row>
    <row r="77" spans="2:20">
      <c r="B77" s="57" t="s">
        <v>1031</v>
      </c>
    </row>
    <row r="78" spans="2:20">
      <c r="B78" s="22" t="s">
        <v>266</v>
      </c>
      <c r="C78" s="88">
        <f>C30+C31+C37</f>
        <v>60633048.76369758</v>
      </c>
      <c r="D78" s="88">
        <f t="shared" ref="D78:T78" si="16">D30+D31+D37</f>
        <v>59571920.304231271</v>
      </c>
      <c r="E78" s="88">
        <f t="shared" si="16"/>
        <v>60318858.318268463</v>
      </c>
      <c r="F78" s="88">
        <f t="shared" si="16"/>
        <v>59778486.012364633</v>
      </c>
      <c r="G78" s="88">
        <f t="shared" si="16"/>
        <v>38226788.102414355</v>
      </c>
      <c r="H78" s="88">
        <f t="shared" si="16"/>
        <v>39146053.300403565</v>
      </c>
      <c r="I78" s="88">
        <f t="shared" si="16"/>
        <v>49205871.033393756</v>
      </c>
      <c r="J78" s="88">
        <f t="shared" si="16"/>
        <v>52582718.773602605</v>
      </c>
      <c r="K78" s="88">
        <f t="shared" si="16"/>
        <v>52582718.773602605</v>
      </c>
      <c r="L78" s="88">
        <f t="shared" si="16"/>
        <v>52386626.016250126</v>
      </c>
      <c r="M78" s="88">
        <f t="shared" si="16"/>
        <v>52101491.177781604</v>
      </c>
      <c r="N78" s="88">
        <f t="shared" si="16"/>
        <v>51951222.341109097</v>
      </c>
      <c r="O78" s="88">
        <f t="shared" si="16"/>
        <v>51843813.478441522</v>
      </c>
      <c r="P78" s="88">
        <f t="shared" si="16"/>
        <v>51780738.027823359</v>
      </c>
      <c r="Q78" s="88">
        <f t="shared" si="16"/>
        <v>51763565.444743782</v>
      </c>
      <c r="R78" s="88">
        <f t="shared" si="16"/>
        <v>51793966.202247679</v>
      </c>
      <c r="S78" s="88">
        <f t="shared" si="16"/>
        <v>51873717.069969907</v>
      </c>
      <c r="T78" s="88">
        <f t="shared" si="16"/>
        <v>52004706.687306672</v>
      </c>
    </row>
    <row r="79" spans="2:20">
      <c r="B79" s="22" t="s">
        <v>269</v>
      </c>
      <c r="C79" s="88">
        <f t="shared" ref="C79:T79" si="17">C57+C58+C64</f>
        <v>1141003519.190768</v>
      </c>
      <c r="D79" s="88">
        <f t="shared" si="17"/>
        <v>1352667386.2271845</v>
      </c>
      <c r="E79" s="88">
        <f t="shared" si="17"/>
        <v>1593599045.0501049</v>
      </c>
      <c r="F79" s="88">
        <f t="shared" si="17"/>
        <v>1617138993.2246304</v>
      </c>
      <c r="G79" s="88">
        <f t="shared" si="17"/>
        <v>841595124.400949</v>
      </c>
      <c r="H79" s="88">
        <f t="shared" si="17"/>
        <v>738695921.67309308</v>
      </c>
      <c r="I79" s="88">
        <f t="shared" si="17"/>
        <v>936257132.6548388</v>
      </c>
      <c r="J79" s="88">
        <f t="shared" si="17"/>
        <v>1034489404.332898</v>
      </c>
      <c r="K79" s="88">
        <f t="shared" si="17"/>
        <v>1034489404.332898</v>
      </c>
      <c r="L79" s="88">
        <f t="shared" si="17"/>
        <v>1037608024.5889215</v>
      </c>
      <c r="M79" s="88">
        <f t="shared" si="17"/>
        <v>1040876811.7821889</v>
      </c>
      <c r="N79" s="88">
        <f t="shared" si="17"/>
        <v>1044296458.7491119</v>
      </c>
      <c r="O79" s="88">
        <f t="shared" si="17"/>
        <v>1047867689.3440495</v>
      </c>
      <c r="P79" s="88">
        <f t="shared" si="17"/>
        <v>1051591258.6321607</v>
      </c>
      <c r="Q79" s="88">
        <f t="shared" si="17"/>
        <v>1055467953.0888765</v>
      </c>
      <c r="R79" s="88">
        <f t="shared" si="17"/>
        <v>1059498590.8060422</v>
      </c>
      <c r="S79" s="88">
        <f t="shared" si="17"/>
        <v>1063684021.7047787</v>
      </c>
      <c r="T79" s="88">
        <f t="shared" si="17"/>
        <v>1068025127.7551214</v>
      </c>
    </row>
    <row r="80" spans="2:20">
      <c r="B80" s="22" t="s">
        <v>270</v>
      </c>
      <c r="C80" s="88">
        <f t="shared" ref="C80:T80" si="18">C66+C67+C73</f>
        <v>0</v>
      </c>
      <c r="D80" s="88">
        <f t="shared" si="18"/>
        <v>45360572.189362921</v>
      </c>
      <c r="E80" s="88">
        <f t="shared" si="18"/>
        <v>46608150.325972185</v>
      </c>
      <c r="F80" s="88">
        <f t="shared" si="18"/>
        <v>43304204.601573542</v>
      </c>
      <c r="G80" s="88">
        <f t="shared" si="18"/>
        <v>31282775.380688503</v>
      </c>
      <c r="H80" s="88">
        <f t="shared" si="18"/>
        <v>32981495.22173737</v>
      </c>
      <c r="I80" s="88">
        <f t="shared" si="18"/>
        <v>38870157.071884446</v>
      </c>
      <c r="J80" s="88">
        <f t="shared" si="18"/>
        <v>43080594.965358377</v>
      </c>
      <c r="K80" s="88">
        <f t="shared" si="18"/>
        <v>43080594.965358377</v>
      </c>
      <c r="L80" s="88">
        <f t="shared" si="18"/>
        <v>42423442.226854622</v>
      </c>
      <c r="M80" s="88">
        <f t="shared" si="18"/>
        <v>41776313.716708675</v>
      </c>
      <c r="N80" s="88">
        <f t="shared" si="18"/>
        <v>41139056.525028698</v>
      </c>
      <c r="O80" s="88">
        <f t="shared" si="18"/>
        <v>40511520.074415095</v>
      </c>
      <c r="P80" s="88">
        <f t="shared" si="18"/>
        <v>39893556.084380627</v>
      </c>
      <c r="Q80" s="88">
        <f t="shared" si="18"/>
        <v>39285018.536313228</v>
      </c>
      <c r="R80" s="88">
        <f t="shared" si="18"/>
        <v>38685763.638973303</v>
      </c>
      <c r="S80" s="88">
        <f t="shared" si="18"/>
        <v>38095649.794517279</v>
      </c>
      <c r="T80" s="88">
        <f t="shared" si="18"/>
        <v>37514537.565039538</v>
      </c>
    </row>
    <row r="81" spans="2:20">
      <c r="B81" s="22" t="s">
        <v>882</v>
      </c>
      <c r="C81" s="514">
        <f t="shared" ref="C81:T81" si="19">C80/C78</f>
        <v>0</v>
      </c>
      <c r="D81" s="514">
        <f t="shared" si="19"/>
        <v>0.76144216868800607</v>
      </c>
      <c r="E81" s="514">
        <f t="shared" si="19"/>
        <v>0.77269616211976966</v>
      </c>
      <c r="F81" s="514">
        <f t="shared" si="19"/>
        <v>0.72441119690813949</v>
      </c>
      <c r="G81" s="514">
        <f t="shared" si="19"/>
        <v>0.81834694813694597</v>
      </c>
      <c r="H81" s="514">
        <f t="shared" si="19"/>
        <v>0.84252414844071544</v>
      </c>
      <c r="I81" s="514">
        <f t="shared" si="19"/>
        <v>0.7899495782831496</v>
      </c>
      <c r="J81" s="514">
        <f t="shared" si="19"/>
        <v>0.81929188847849288</v>
      </c>
      <c r="K81" s="514">
        <f t="shared" si="19"/>
        <v>0.81929188847849288</v>
      </c>
      <c r="L81" s="514">
        <f t="shared" si="19"/>
        <v>0.80981436395035322</v>
      </c>
      <c r="M81" s="514">
        <f t="shared" si="19"/>
        <v>0.80182568238131269</v>
      </c>
      <c r="N81" s="514">
        <f t="shared" si="19"/>
        <v>0.79187850970881368</v>
      </c>
      <c r="O81" s="514">
        <f t="shared" si="19"/>
        <v>0.78141474085931595</v>
      </c>
      <c r="P81" s="514">
        <f t="shared" si="19"/>
        <v>0.77043235774168783</v>
      </c>
      <c r="Q81" s="514">
        <f t="shared" si="19"/>
        <v>0.75893185098018279</v>
      </c>
      <c r="R81" s="514">
        <f t="shared" si="19"/>
        <v>0.7469164166326091</v>
      </c>
      <c r="S81" s="514">
        <f t="shared" si="19"/>
        <v>0.73439213432752326</v>
      </c>
      <c r="T81" s="514">
        <f t="shared" si="19"/>
        <v>0.72136812136267847</v>
      </c>
    </row>
    <row r="82" spans="2:20">
      <c r="B82" s="22" t="s">
        <v>1032</v>
      </c>
      <c r="C82" s="526">
        <f t="shared" ref="C82:T82" si="20">C79/C78</f>
        <v>18.818178245292415</v>
      </c>
      <c r="D82" s="526">
        <f t="shared" si="20"/>
        <v>22.706459340561285</v>
      </c>
      <c r="E82" s="526">
        <f t="shared" si="20"/>
        <v>26.419582357503934</v>
      </c>
      <c r="F82" s="526">
        <f t="shared" si="20"/>
        <v>27.052190530388138</v>
      </c>
      <c r="G82" s="526">
        <f t="shared" si="20"/>
        <v>22.015847163151928</v>
      </c>
      <c r="H82" s="526">
        <f t="shared" si="20"/>
        <v>18.870252794180857</v>
      </c>
      <c r="I82" s="526">
        <f t="shared" si="20"/>
        <v>19.027345985186287</v>
      </c>
      <c r="J82" s="526">
        <f t="shared" si="20"/>
        <v>19.673562502291698</v>
      </c>
      <c r="K82" s="526">
        <f t="shared" si="20"/>
        <v>19.673562502291698</v>
      </c>
      <c r="L82" s="526">
        <f t="shared" si="20"/>
        <v>19.806735105770308</v>
      </c>
      <c r="M82" s="526">
        <f t="shared" si="20"/>
        <v>19.977869889183999</v>
      </c>
      <c r="N82" s="526">
        <f t="shared" si="20"/>
        <v>20.101480036260057</v>
      </c>
      <c r="O82" s="526">
        <f t="shared" si="20"/>
        <v>20.212010248431852</v>
      </c>
      <c r="P82" s="526">
        <f t="shared" si="20"/>
        <v>20.308541335720413</v>
      </c>
      <c r="Q82" s="526">
        <f t="shared" si="20"/>
        <v>20.390171040585685</v>
      </c>
      <c r="R82" s="526">
        <f t="shared" si="20"/>
        <v>20.456023519590271</v>
      </c>
      <c r="S82" s="526">
        <f t="shared" si="20"/>
        <v>20.505259344920812</v>
      </c>
      <c r="T82" s="526">
        <f t="shared" si="20"/>
        <v>20.53708588680119</v>
      </c>
    </row>
    <row r="83" spans="2:20">
      <c r="B83" s="57" t="s">
        <v>1033</v>
      </c>
    </row>
    <row r="84" spans="2:20">
      <c r="B84" s="22" t="s">
        <v>266</v>
      </c>
      <c r="C84" s="88">
        <f t="shared" ref="C84:T84" si="21">C32+C33+C34+C35+C36</f>
        <v>90531667.816368535</v>
      </c>
      <c r="D84" s="88">
        <f t="shared" si="21"/>
        <v>89228204.236622751</v>
      </c>
      <c r="E84" s="88">
        <f t="shared" si="21"/>
        <v>87421498.028624669</v>
      </c>
      <c r="F84" s="88">
        <f t="shared" si="21"/>
        <v>86258029.601125091</v>
      </c>
      <c r="G84" s="88">
        <f t="shared" si="21"/>
        <v>54208138.835767552</v>
      </c>
      <c r="H84" s="88">
        <f t="shared" si="21"/>
        <v>53746212.532269709</v>
      </c>
      <c r="I84" s="88">
        <f t="shared" si="21"/>
        <v>69832120.429191947</v>
      </c>
      <c r="J84" s="88">
        <f t="shared" si="21"/>
        <v>72808841.947409064</v>
      </c>
      <c r="K84" s="88">
        <f t="shared" si="21"/>
        <v>72808841.947409064</v>
      </c>
      <c r="L84" s="88">
        <f t="shared" si="21"/>
        <v>71443083.819463134</v>
      </c>
      <c r="M84" s="88">
        <f t="shared" si="21"/>
        <v>71443083.819463134</v>
      </c>
      <c r="N84" s="88">
        <f t="shared" si="21"/>
        <v>70112419.277646154</v>
      </c>
      <c r="O84" s="88">
        <f t="shared" si="21"/>
        <v>68815906.150390878</v>
      </c>
      <c r="P84" s="88">
        <f t="shared" si="21"/>
        <v>67552628.238298923</v>
      </c>
      <c r="Q84" s="88">
        <f t="shared" si="21"/>
        <v>66321694.586008757</v>
      </c>
      <c r="R84" s="88">
        <f t="shared" si="21"/>
        <v>65122238.774746493</v>
      </c>
      <c r="S84" s="88">
        <f t="shared" si="21"/>
        <v>63953418.234965406</v>
      </c>
      <c r="T84" s="88">
        <f t="shared" si="21"/>
        <v>62814413.578497261</v>
      </c>
    </row>
    <row r="85" spans="2:20">
      <c r="B85" s="22" t="s">
        <v>269</v>
      </c>
      <c r="C85" s="88">
        <f t="shared" ref="C85:T85" si="22">C59+C60+C61+C62+C63</f>
        <v>1354305203.7656531</v>
      </c>
      <c r="D85" s="88">
        <f t="shared" si="22"/>
        <v>1355227605.9555793</v>
      </c>
      <c r="E85" s="88">
        <f t="shared" si="22"/>
        <v>1365050883.6972148</v>
      </c>
      <c r="F85" s="88">
        <f t="shared" si="22"/>
        <v>1323630518.8914561</v>
      </c>
      <c r="G85" s="88">
        <f t="shared" si="22"/>
        <v>839406235.73647273</v>
      </c>
      <c r="H85" s="88">
        <f t="shared" si="22"/>
        <v>826154378.16554832</v>
      </c>
      <c r="I85" s="88">
        <f t="shared" si="22"/>
        <v>1049490383.9101343</v>
      </c>
      <c r="J85" s="88">
        <f t="shared" si="22"/>
        <v>1147410340.704459</v>
      </c>
      <c r="K85" s="88">
        <f t="shared" si="22"/>
        <v>1147410340.704459</v>
      </c>
      <c r="L85" s="88">
        <f t="shared" si="22"/>
        <v>1171443509.1525643</v>
      </c>
      <c r="M85" s="88">
        <f t="shared" si="22"/>
        <v>1196486862.8784323</v>
      </c>
      <c r="N85" s="88">
        <f t="shared" si="22"/>
        <v>1222599653.7715333</v>
      </c>
      <c r="O85" s="88">
        <f t="shared" si="22"/>
        <v>1249844967.6327956</v>
      </c>
      <c r="P85" s="88">
        <f t="shared" si="22"/>
        <v>1278289978.2197256</v>
      </c>
      <c r="Q85" s="88">
        <f t="shared" si="22"/>
        <v>1308006218.2176037</v>
      </c>
      <c r="R85" s="88">
        <f t="shared" si="22"/>
        <v>1339069868.2658756</v>
      </c>
      <c r="S85" s="88">
        <f t="shared" si="22"/>
        <v>1371562065.2442148</v>
      </c>
      <c r="T85" s="88">
        <f t="shared" si="22"/>
        <v>1405569231.1030936</v>
      </c>
    </row>
    <row r="86" spans="2:20">
      <c r="B86" s="22" t="s">
        <v>270</v>
      </c>
      <c r="C86" s="88">
        <f t="shared" ref="C86:T86" si="23">C68+C69+C70+C71+C72</f>
        <v>0</v>
      </c>
      <c r="D86" s="88">
        <f t="shared" si="23"/>
        <v>49981817.940897167</v>
      </c>
      <c r="E86" s="88">
        <f t="shared" si="23"/>
        <v>48632272.930112556</v>
      </c>
      <c r="F86" s="88">
        <f t="shared" si="23"/>
        <v>47723222.655016422</v>
      </c>
      <c r="G86" s="88">
        <f t="shared" si="23"/>
        <v>32089223.008231647</v>
      </c>
      <c r="H86" s="88">
        <f t="shared" si="23"/>
        <v>33419465.148941264</v>
      </c>
      <c r="I86" s="88">
        <f t="shared" si="23"/>
        <v>42474499.373915777</v>
      </c>
      <c r="J86" s="88">
        <f t="shared" si="23"/>
        <v>45856785.961346589</v>
      </c>
      <c r="K86" s="88">
        <f t="shared" si="23"/>
        <v>45856785.961346589</v>
      </c>
      <c r="L86" s="88">
        <f t="shared" si="23"/>
        <v>45157285.118850999</v>
      </c>
      <c r="M86" s="88">
        <f t="shared" si="23"/>
        <v>44468454.484011576</v>
      </c>
      <c r="N86" s="88">
        <f t="shared" si="23"/>
        <v>43790131.293148123</v>
      </c>
      <c r="O86" s="88">
        <f t="shared" si="23"/>
        <v>43122155.265382707</v>
      </c>
      <c r="P86" s="88">
        <f t="shared" si="23"/>
        <v>42464368.564766869</v>
      </c>
      <c r="Q86" s="88">
        <f t="shared" si="23"/>
        <v>41816615.76298666</v>
      </c>
      <c r="R86" s="88">
        <f t="shared" si="23"/>
        <v>41178743.802636467</v>
      </c>
      <c r="S86" s="88">
        <f t="shared" si="23"/>
        <v>40550601.961053103</v>
      </c>
      <c r="T86" s="88">
        <f t="shared" si="23"/>
        <v>39932041.814701602</v>
      </c>
    </row>
    <row r="87" spans="2:20">
      <c r="B87" s="22" t="s">
        <v>882</v>
      </c>
      <c r="C87" s="514">
        <f t="shared" ref="C87:T87" si="24">C86/C84</f>
        <v>0</v>
      </c>
      <c r="D87" s="514">
        <f t="shared" si="24"/>
        <v>0.56015716519802683</v>
      </c>
      <c r="E87" s="514">
        <f t="shared" si="24"/>
        <v>0.5562964948757656</v>
      </c>
      <c r="F87" s="514">
        <f t="shared" si="24"/>
        <v>0.55326121957223506</v>
      </c>
      <c r="G87" s="514">
        <f t="shared" si="24"/>
        <v>0.5919631940408655</v>
      </c>
      <c r="H87" s="514">
        <f t="shared" si="24"/>
        <v>0.62180130607111928</v>
      </c>
      <c r="I87" s="514">
        <f t="shared" si="24"/>
        <v>0.60823728554804335</v>
      </c>
      <c r="J87" s="514">
        <f t="shared" si="24"/>
        <v>0.62982441053614946</v>
      </c>
      <c r="K87" s="514">
        <f t="shared" si="24"/>
        <v>0.62982441053614946</v>
      </c>
      <c r="L87" s="514">
        <f t="shared" si="24"/>
        <v>0.632073571081612</v>
      </c>
      <c r="M87" s="514">
        <f t="shared" si="24"/>
        <v>0.62243190112542568</v>
      </c>
      <c r="N87" s="514">
        <f t="shared" si="24"/>
        <v>0.62457025081018236</v>
      </c>
      <c r="O87" s="514">
        <f t="shared" si="24"/>
        <v>0.62663063930515095</v>
      </c>
      <c r="P87" s="514">
        <f t="shared" si="24"/>
        <v>0.62861164209583953</v>
      </c>
      <c r="Q87" s="514">
        <f t="shared" si="24"/>
        <v>0.63051187132676645</v>
      </c>
      <c r="R87" s="514">
        <f t="shared" si="24"/>
        <v>0.63232997786011336</v>
      </c>
      <c r="S87" s="514">
        <f t="shared" si="24"/>
        <v>0.63406465330859785</v>
      </c>
      <c r="T87" s="514">
        <f t="shared" si="24"/>
        <v>0.63571463203743428</v>
      </c>
    </row>
    <row r="88" spans="2:20">
      <c r="B88" s="22" t="s">
        <v>1032</v>
      </c>
      <c r="C88" s="526">
        <f t="shared" ref="C88:T88" si="25">C85/C84</f>
        <v>14.959463759274614</v>
      </c>
      <c r="D88" s="526">
        <f t="shared" si="25"/>
        <v>15.188332182071875</v>
      </c>
      <c r="E88" s="526">
        <f t="shared" si="25"/>
        <v>15.614590398007735</v>
      </c>
      <c r="F88" s="526">
        <f t="shared" si="25"/>
        <v>15.34501222682916</v>
      </c>
      <c r="G88" s="526">
        <f t="shared" si="25"/>
        <v>15.484874665769132</v>
      </c>
      <c r="H88" s="526">
        <f t="shared" si="25"/>
        <v>15.371397150441398</v>
      </c>
      <c r="I88" s="526">
        <f t="shared" si="25"/>
        <v>15.028762945474236</v>
      </c>
      <c r="J88" s="526">
        <f t="shared" si="25"/>
        <v>15.759217012862957</v>
      </c>
      <c r="K88" s="526">
        <f t="shared" si="25"/>
        <v>15.759217012862957</v>
      </c>
      <c r="L88" s="526">
        <f t="shared" si="25"/>
        <v>16.396877717552133</v>
      </c>
      <c r="M88" s="526">
        <f t="shared" si="25"/>
        <v>16.747413450152262</v>
      </c>
      <c r="N88" s="526">
        <f t="shared" si="25"/>
        <v>17.437704566005941</v>
      </c>
      <c r="O88" s="526">
        <f t="shared" si="25"/>
        <v>18.162152292253094</v>
      </c>
      <c r="P88" s="526">
        <f t="shared" si="25"/>
        <v>18.922875564669738</v>
      </c>
      <c r="Q88" s="526">
        <f t="shared" si="25"/>
        <v>19.722147125196361</v>
      </c>
      <c r="R88" s="526">
        <f t="shared" si="25"/>
        <v>20.562405308233174</v>
      </c>
      <c r="S88" s="526">
        <f t="shared" si="25"/>
        <v>21.446266721898805</v>
      </c>
      <c r="T88" s="526">
        <f t="shared" si="25"/>
        <v>22.376539889950521</v>
      </c>
    </row>
    <row r="89" spans="2:20">
      <c r="C89" s="526"/>
      <c r="D89" s="526"/>
      <c r="E89" s="526"/>
      <c r="F89" s="526"/>
      <c r="G89" s="526"/>
      <c r="H89" s="526"/>
      <c r="I89" s="526"/>
      <c r="J89" s="526"/>
      <c r="K89" s="526"/>
      <c r="L89" s="526"/>
      <c r="M89" s="526"/>
      <c r="N89" s="526"/>
      <c r="O89" s="526"/>
      <c r="P89" s="526"/>
      <c r="Q89" s="526"/>
      <c r="R89" s="526"/>
      <c r="S89" s="526"/>
      <c r="T89" s="526"/>
    </row>
    <row r="90" spans="2:20">
      <c r="B90" s="57" t="s">
        <v>1031</v>
      </c>
    </row>
    <row r="91" spans="2:20">
      <c r="B91" s="22" t="s">
        <v>266</v>
      </c>
      <c r="C91" s="24">
        <f t="shared" ref="C91:T91" si="26">C78/C29</f>
        <v>0.4011058277053865</v>
      </c>
      <c r="D91" s="24">
        <f t="shared" si="26"/>
        <v>0.40034859169674564</v>
      </c>
      <c r="E91" s="24">
        <f t="shared" si="26"/>
        <v>0.40827611229419458</v>
      </c>
      <c r="F91" s="24">
        <f t="shared" si="26"/>
        <v>0.40933930641414701</v>
      </c>
      <c r="G91" s="24">
        <f t="shared" si="26"/>
        <v>0.413553505894795</v>
      </c>
      <c r="H91" s="24">
        <f t="shared" si="26"/>
        <v>0.42141348313020266</v>
      </c>
      <c r="I91" s="24">
        <f t="shared" si="26"/>
        <v>0.41336274603439882</v>
      </c>
      <c r="J91" s="24">
        <f t="shared" si="26"/>
        <v>0.4193481480830743</v>
      </c>
      <c r="K91" s="24">
        <f t="shared" si="26"/>
        <v>0.4193481480830743</v>
      </c>
      <c r="L91" s="24">
        <f t="shared" si="26"/>
        <v>0.42305377349064494</v>
      </c>
      <c r="M91" s="24">
        <f t="shared" si="26"/>
        <v>0.42172220980924136</v>
      </c>
      <c r="N91" s="24">
        <f t="shared" si="26"/>
        <v>0.42560767196647947</v>
      </c>
      <c r="O91" s="24">
        <f t="shared" si="26"/>
        <v>0.42966960007797927</v>
      </c>
      <c r="P91" s="24">
        <f t="shared" si="26"/>
        <v>0.43391667936651063</v>
      </c>
      <c r="Q91" s="24">
        <f t="shared" si="26"/>
        <v>0.43835755141042304</v>
      </c>
      <c r="R91" s="24">
        <f t="shared" si="26"/>
        <v>0.44300074752203322</v>
      </c>
      <c r="S91" s="24">
        <f t="shared" si="26"/>
        <v>0.4478546148396334</v>
      </c>
      <c r="T91" s="24">
        <f t="shared" si="26"/>
        <v>0.45292723517578637</v>
      </c>
    </row>
    <row r="92" spans="2:20">
      <c r="B92" s="22" t="s">
        <v>269</v>
      </c>
      <c r="C92" s="24">
        <f>C79/C56</f>
        <v>0.4572594599993689</v>
      </c>
      <c r="D92" s="24">
        <f t="shared" ref="D92:T92" si="27">D79/D56</f>
        <v>0.49952726753884746</v>
      </c>
      <c r="E92" s="24">
        <f t="shared" si="27"/>
        <v>0.53862372481655107</v>
      </c>
      <c r="F92" s="24">
        <f t="shared" si="27"/>
        <v>0.54990334555698905</v>
      </c>
      <c r="G92" s="24">
        <f t="shared" si="27"/>
        <v>0.50065106689274108</v>
      </c>
      <c r="H92" s="24">
        <f t="shared" si="27"/>
        <v>0.47205532807148598</v>
      </c>
      <c r="I92" s="24">
        <f t="shared" si="27"/>
        <v>0.47148850739816833</v>
      </c>
      <c r="J92" s="24">
        <f t="shared" si="27"/>
        <v>0.47412325276897005</v>
      </c>
      <c r="K92" s="24">
        <f t="shared" si="27"/>
        <v>0.47412325276897005</v>
      </c>
      <c r="L92" s="24">
        <f t="shared" si="27"/>
        <v>0.46970747795616963</v>
      </c>
      <c r="M92" s="24">
        <f t="shared" si="27"/>
        <v>0.4652246854504225</v>
      </c>
      <c r="N92" s="24">
        <f t="shared" si="27"/>
        <v>0.46067239384336861</v>
      </c>
      <c r="O92" s="24">
        <f t="shared" si="27"/>
        <v>0.45604818607856462</v>
      </c>
      <c r="P92" s="24">
        <f t="shared" si="27"/>
        <v>0.45134972632899562</v>
      </c>
      <c r="Q92" s="24">
        <f t="shared" si="27"/>
        <v>0.44657477788531758</v>
      </c>
      <c r="R92" s="24">
        <f t="shared" si="27"/>
        <v>0.44172122200589425</v>
      </c>
      <c r="S92" s="24">
        <f t="shared" si="27"/>
        <v>0.43678707766138691</v>
      </c>
      <c r="T92" s="24">
        <f t="shared" si="27"/>
        <v>0.43177052208677841</v>
      </c>
    </row>
    <row r="93" spans="2:20">
      <c r="B93" s="22" t="s">
        <v>270</v>
      </c>
      <c r="C93" s="24" t="e">
        <f>C80/C65</f>
        <v>#DIV/0!</v>
      </c>
      <c r="D93" s="24">
        <f t="shared" ref="D93:T93" si="28">D80/D65</f>
        <v>0.47576499946550255</v>
      </c>
      <c r="E93" s="24">
        <f t="shared" si="28"/>
        <v>0.48937361608159879</v>
      </c>
      <c r="F93" s="24">
        <f t="shared" si="28"/>
        <v>0.47572699686992986</v>
      </c>
      <c r="G93" s="24">
        <f t="shared" si="28"/>
        <v>0.49363719270304612</v>
      </c>
      <c r="H93" s="24">
        <f t="shared" si="28"/>
        <v>0.49670208137985539</v>
      </c>
      <c r="I93" s="24">
        <f t="shared" si="28"/>
        <v>0.47784524233357056</v>
      </c>
      <c r="J93" s="24">
        <f t="shared" si="28"/>
        <v>0.48439244012438304</v>
      </c>
      <c r="K93" s="24">
        <f t="shared" si="28"/>
        <v>0.48439244012438304</v>
      </c>
      <c r="L93" s="24">
        <f t="shared" si="28"/>
        <v>0.48439244012438293</v>
      </c>
      <c r="M93" s="24">
        <f t="shared" si="28"/>
        <v>0.48439244012438298</v>
      </c>
      <c r="N93" s="24">
        <f t="shared" si="28"/>
        <v>0.48439244012438298</v>
      </c>
      <c r="O93" s="24">
        <f t="shared" si="28"/>
        <v>0.48439244012438304</v>
      </c>
      <c r="P93" s="24">
        <f t="shared" si="28"/>
        <v>0.48439244012438304</v>
      </c>
      <c r="Q93" s="24">
        <f t="shared" si="28"/>
        <v>0.48439244012438298</v>
      </c>
      <c r="R93" s="24">
        <f t="shared" si="28"/>
        <v>0.48439244012438309</v>
      </c>
      <c r="S93" s="24">
        <f t="shared" si="28"/>
        <v>0.48439244012438304</v>
      </c>
      <c r="T93" s="24">
        <f t="shared" si="28"/>
        <v>0.48439244012438298</v>
      </c>
    </row>
    <row r="94" spans="2:20">
      <c r="B94" s="22" t="s">
        <v>882</v>
      </c>
      <c r="C94" s="24" t="e">
        <f>C81/C74</f>
        <v>#DIV/0!</v>
      </c>
      <c r="D94" s="24">
        <f t="shared" ref="D94:T94" si="29">D81/D74</f>
        <v>1.1883768529049379</v>
      </c>
      <c r="E94" s="24">
        <f t="shared" si="29"/>
        <v>1.1986339669291433</v>
      </c>
      <c r="F94" s="24">
        <f t="shared" si="29"/>
        <v>1.1621825449340442</v>
      </c>
      <c r="G94" s="24">
        <f t="shared" si="29"/>
        <v>1.1936477037837612</v>
      </c>
      <c r="H94" s="24">
        <f t="shared" si="29"/>
        <v>1.1786573075223392</v>
      </c>
      <c r="I94" s="24">
        <f t="shared" si="29"/>
        <v>1.1559949388709685</v>
      </c>
      <c r="J94" s="24">
        <f t="shared" si="29"/>
        <v>1.1551080941662422</v>
      </c>
      <c r="K94" s="24">
        <f t="shared" si="29"/>
        <v>1.1551080941662422</v>
      </c>
      <c r="L94" s="24">
        <f t="shared" si="29"/>
        <v>1.1449902364128053</v>
      </c>
      <c r="M94" s="24">
        <f t="shared" si="29"/>
        <v>1.148605477391123</v>
      </c>
      <c r="N94" s="24">
        <f t="shared" si="29"/>
        <v>1.138119615857238</v>
      </c>
      <c r="O94" s="24">
        <f t="shared" si="29"/>
        <v>1.1273602787734396</v>
      </c>
      <c r="P94" s="24">
        <f t="shared" si="29"/>
        <v>1.1163259288201681</v>
      </c>
      <c r="Q94" s="24">
        <f t="shared" si="29"/>
        <v>1.1050167575894194</v>
      </c>
      <c r="R94" s="24">
        <f t="shared" si="29"/>
        <v>1.0934348143516197</v>
      </c>
      <c r="S94" s="24">
        <f t="shared" si="29"/>
        <v>1.0815841214404656</v>
      </c>
      <c r="T94" s="24">
        <f t="shared" si="29"/>
        <v>1.0694707725764925</v>
      </c>
    </row>
    <row r="95" spans="2:20">
      <c r="B95" s="22" t="s">
        <v>1032</v>
      </c>
      <c r="C95" s="24">
        <f>C82/C75</f>
        <v>1.1399970491957732</v>
      </c>
      <c r="D95" s="24">
        <f t="shared" ref="D95:T95" si="30">D82/D75</f>
        <v>1.2477307973577869</v>
      </c>
      <c r="E95" s="24">
        <f t="shared" si="30"/>
        <v>1.3192633822975932</v>
      </c>
      <c r="F95" s="24">
        <f t="shared" si="30"/>
        <v>1.3433924789050846</v>
      </c>
      <c r="G95" s="24">
        <f t="shared" si="30"/>
        <v>1.2106077200566716</v>
      </c>
      <c r="H95" s="24">
        <f t="shared" si="30"/>
        <v>1.1201713921565171</v>
      </c>
      <c r="I95" s="24">
        <f t="shared" si="30"/>
        <v>1.1406168357487456</v>
      </c>
      <c r="J95" s="24">
        <f t="shared" si="30"/>
        <v>1.1306196413082634</v>
      </c>
      <c r="K95" s="24">
        <f t="shared" si="30"/>
        <v>1.1306196413082634</v>
      </c>
      <c r="L95" s="24">
        <f t="shared" si="30"/>
        <v>1.1102784265002104</v>
      </c>
      <c r="M95" s="24">
        <f t="shared" si="30"/>
        <v>1.1031543386364657</v>
      </c>
      <c r="N95" s="24">
        <f t="shared" si="30"/>
        <v>1.0823874290490958</v>
      </c>
      <c r="O95" s="24">
        <f t="shared" si="30"/>
        <v>1.0613927212811844</v>
      </c>
      <c r="P95" s="24">
        <f t="shared" si="30"/>
        <v>1.0401760240881639</v>
      </c>
      <c r="Q95" s="24">
        <f t="shared" si="30"/>
        <v>1.0187454885822211</v>
      </c>
      <c r="R95" s="24">
        <f t="shared" si="30"/>
        <v>0.99711168542424333</v>
      </c>
      <c r="S95" s="24">
        <f t="shared" si="30"/>
        <v>0.97528765628057779</v>
      </c>
      <c r="T95" s="24">
        <f t="shared" si="30"/>
        <v>0.95328893595723652</v>
      </c>
    </row>
    <row r="96" spans="2:20">
      <c r="B96" s="57" t="s">
        <v>1033</v>
      </c>
      <c r="C96" s="24"/>
      <c r="D96" s="24"/>
      <c r="E96" s="24"/>
      <c r="F96" s="24"/>
      <c r="G96" s="24"/>
      <c r="H96" s="24"/>
      <c r="I96" s="24"/>
      <c r="J96" s="24"/>
      <c r="K96" s="24"/>
      <c r="L96" s="24"/>
      <c r="M96" s="24"/>
      <c r="N96" s="24"/>
      <c r="O96" s="24"/>
      <c r="P96" s="24"/>
      <c r="Q96" s="24"/>
      <c r="R96" s="24"/>
      <c r="S96" s="24"/>
      <c r="T96" s="24"/>
    </row>
    <row r="97" spans="1:20">
      <c r="B97" s="22" t="s">
        <v>266</v>
      </c>
      <c r="C97" s="24">
        <f>C84/C29</f>
        <v>0.5988941722946135</v>
      </c>
      <c r="D97" s="24">
        <f t="shared" ref="D97:T97" si="31">D84/D29</f>
        <v>0.59965140830325425</v>
      </c>
      <c r="E97" s="24">
        <f t="shared" si="31"/>
        <v>0.59172388770580542</v>
      </c>
      <c r="F97" s="24">
        <f t="shared" si="31"/>
        <v>0.59066069358585305</v>
      </c>
      <c r="G97" s="24">
        <f t="shared" si="31"/>
        <v>0.586446494105205</v>
      </c>
      <c r="H97" s="24">
        <f t="shared" si="31"/>
        <v>0.57858651686979723</v>
      </c>
      <c r="I97" s="24">
        <f t="shared" si="31"/>
        <v>0.58663725396560107</v>
      </c>
      <c r="J97" s="24">
        <f t="shared" si="31"/>
        <v>0.5806518519169257</v>
      </c>
      <c r="K97" s="24">
        <f t="shared" si="31"/>
        <v>0.5806518519169257</v>
      </c>
      <c r="L97" s="24">
        <f t="shared" si="31"/>
        <v>0.57694622650935501</v>
      </c>
      <c r="M97" s="24">
        <f t="shared" si="31"/>
        <v>0.57827779019075853</v>
      </c>
      <c r="N97" s="24">
        <f t="shared" si="31"/>
        <v>0.57439232803352047</v>
      </c>
      <c r="O97" s="24">
        <f t="shared" si="31"/>
        <v>0.57033039992202073</v>
      </c>
      <c r="P97" s="24">
        <f t="shared" si="31"/>
        <v>0.56608332063348932</v>
      </c>
      <c r="Q97" s="24">
        <f t="shared" si="31"/>
        <v>0.5616424485895769</v>
      </c>
      <c r="R97" s="24">
        <f t="shared" si="31"/>
        <v>0.55699925247796678</v>
      </c>
      <c r="S97" s="24">
        <f t="shared" si="31"/>
        <v>0.5521453851603666</v>
      </c>
      <c r="T97" s="24">
        <f t="shared" si="31"/>
        <v>0.54707276482421374</v>
      </c>
    </row>
    <row r="98" spans="1:20">
      <c r="B98" s="22" t="s">
        <v>269</v>
      </c>
      <c r="C98" s="24">
        <f>C85/C56</f>
        <v>0.54274054000063099</v>
      </c>
      <c r="D98" s="24">
        <f t="shared" ref="D98:T98" si="32">D85/D56</f>
        <v>0.50047273246115265</v>
      </c>
      <c r="E98" s="24">
        <f t="shared" si="32"/>
        <v>0.46137627518344887</v>
      </c>
      <c r="F98" s="24">
        <f t="shared" si="32"/>
        <v>0.45009665444301095</v>
      </c>
      <c r="G98" s="24">
        <f t="shared" si="32"/>
        <v>0.49934893310725897</v>
      </c>
      <c r="H98" s="24">
        <f t="shared" si="32"/>
        <v>0.52794467192851402</v>
      </c>
      <c r="I98" s="24">
        <f t="shared" si="32"/>
        <v>0.52851149260183161</v>
      </c>
      <c r="J98" s="24">
        <f t="shared" si="32"/>
        <v>0.52587674723103006</v>
      </c>
      <c r="K98" s="24">
        <f t="shared" si="32"/>
        <v>0.52587674723103006</v>
      </c>
      <c r="L98" s="24">
        <f t="shared" si="32"/>
        <v>0.53029252204383048</v>
      </c>
      <c r="M98" s="24">
        <f t="shared" si="32"/>
        <v>0.5347753145495775</v>
      </c>
      <c r="N98" s="24">
        <f t="shared" si="32"/>
        <v>0.53932760615663133</v>
      </c>
      <c r="O98" s="24">
        <f t="shared" si="32"/>
        <v>0.54395181392143532</v>
      </c>
      <c r="P98" s="24">
        <f t="shared" si="32"/>
        <v>0.54865027367100438</v>
      </c>
      <c r="Q98" s="24">
        <f t="shared" si="32"/>
        <v>0.55342522211468237</v>
      </c>
      <c r="R98" s="24">
        <f t="shared" si="32"/>
        <v>0.55827877799410586</v>
      </c>
      <c r="S98" s="24">
        <f t="shared" si="32"/>
        <v>0.56321292233861298</v>
      </c>
      <c r="T98" s="24">
        <f t="shared" si="32"/>
        <v>0.56822947791322165</v>
      </c>
    </row>
    <row r="99" spans="1:20">
      <c r="B99" s="22" t="s">
        <v>270</v>
      </c>
      <c r="C99" s="24" t="e">
        <f>C86/C65</f>
        <v>#DIV/0!</v>
      </c>
      <c r="D99" s="24">
        <f t="shared" ref="D99:T99" si="33">D86/D65</f>
        <v>0.52423500053449756</v>
      </c>
      <c r="E99" s="24">
        <f t="shared" si="33"/>
        <v>0.51062638391840121</v>
      </c>
      <c r="F99" s="24">
        <f t="shared" si="33"/>
        <v>0.52427300313007019</v>
      </c>
      <c r="G99" s="24">
        <f t="shared" si="33"/>
        <v>0.50636280729695393</v>
      </c>
      <c r="H99" s="24">
        <f t="shared" si="33"/>
        <v>0.50329791862014461</v>
      </c>
      <c r="I99" s="24">
        <f t="shared" si="33"/>
        <v>0.52215475766642949</v>
      </c>
      <c r="J99" s="24">
        <f t="shared" si="33"/>
        <v>0.51560755987561702</v>
      </c>
      <c r="K99" s="24">
        <f t="shared" si="33"/>
        <v>0.51560755987561702</v>
      </c>
      <c r="L99" s="24">
        <f t="shared" si="33"/>
        <v>0.51560755987561702</v>
      </c>
      <c r="M99" s="24">
        <f t="shared" si="33"/>
        <v>0.51560755987561702</v>
      </c>
      <c r="N99" s="24">
        <f t="shared" si="33"/>
        <v>0.51560755987561691</v>
      </c>
      <c r="O99" s="24">
        <f t="shared" si="33"/>
        <v>0.51560755987561702</v>
      </c>
      <c r="P99" s="24">
        <f t="shared" si="33"/>
        <v>0.51560755987561702</v>
      </c>
      <c r="Q99" s="24">
        <f t="shared" si="33"/>
        <v>0.51560755987561691</v>
      </c>
      <c r="R99" s="24">
        <f t="shared" si="33"/>
        <v>0.51560755987561702</v>
      </c>
      <c r="S99" s="24">
        <f t="shared" si="33"/>
        <v>0.51560755987561702</v>
      </c>
      <c r="T99" s="24">
        <f t="shared" si="33"/>
        <v>0.51560755987561691</v>
      </c>
    </row>
    <row r="100" spans="1:20">
      <c r="B100" s="22" t="s">
        <v>882</v>
      </c>
      <c r="C100" s="24" t="e">
        <f>C87/C74</f>
        <v>#DIV/0!</v>
      </c>
      <c r="D100" s="24">
        <f t="shared" ref="D100:T100" si="34">D87/D74</f>
        <v>0.87423291811795878</v>
      </c>
      <c r="E100" s="24">
        <f t="shared" si="34"/>
        <v>0.8629470510277516</v>
      </c>
      <c r="F100" s="24">
        <f t="shared" si="34"/>
        <v>0.88760435360486134</v>
      </c>
      <c r="G100" s="24">
        <f t="shared" si="34"/>
        <v>0.86344246642578681</v>
      </c>
      <c r="H100" s="24">
        <f t="shared" si="34"/>
        <v>0.86987495205216614</v>
      </c>
      <c r="I100" s="24">
        <f t="shared" si="34"/>
        <v>0.8900811432221919</v>
      </c>
      <c r="J100" s="24">
        <f t="shared" si="34"/>
        <v>0.88798056558921534</v>
      </c>
      <c r="K100" s="24">
        <f t="shared" si="34"/>
        <v>0.88798056558921534</v>
      </c>
      <c r="L100" s="24">
        <f t="shared" si="34"/>
        <v>0.89368391053556262</v>
      </c>
      <c r="M100" s="24">
        <f t="shared" si="34"/>
        <v>0.89162608113573183</v>
      </c>
      <c r="N100" s="24">
        <f t="shared" si="34"/>
        <v>0.89765746287183512</v>
      </c>
      <c r="O100" s="24">
        <f t="shared" si="34"/>
        <v>0.9040506344149184</v>
      </c>
      <c r="P100" s="24">
        <f t="shared" si="34"/>
        <v>0.91083333686393331</v>
      </c>
      <c r="Q100" s="24">
        <f t="shared" si="34"/>
        <v>0.91803523962698153</v>
      </c>
      <c r="R100" s="24">
        <f t="shared" si="34"/>
        <v>0.92568806435878104</v>
      </c>
      <c r="S100" s="24">
        <f t="shared" si="34"/>
        <v>0.93382571643854706</v>
      </c>
      <c r="T100" s="24">
        <f t="shared" si="34"/>
        <v>0.9424844244280608</v>
      </c>
    </row>
    <row r="101" spans="1:20">
      <c r="B101" s="22" t="s">
        <v>1032</v>
      </c>
      <c r="C101" s="24">
        <f>C88/C75</f>
        <v>0.90623780478805704</v>
      </c>
      <c r="D101" s="24">
        <f t="shared" ref="D101:T101" si="35">D88/D75</f>
        <v>0.83460611537170737</v>
      </c>
      <c r="E101" s="24">
        <f t="shared" si="35"/>
        <v>0.77971548009033054</v>
      </c>
      <c r="F101" s="24">
        <f t="shared" si="35"/>
        <v>0.76202235789639361</v>
      </c>
      <c r="G101" s="24">
        <f t="shared" si="35"/>
        <v>0.85148251055564972</v>
      </c>
      <c r="H101" s="24">
        <f t="shared" si="35"/>
        <v>0.91247316785869825</v>
      </c>
      <c r="I101" s="24">
        <f t="shared" si="35"/>
        <v>0.90091703012236957</v>
      </c>
      <c r="J101" s="24">
        <f t="shared" si="35"/>
        <v>0.90566618446998015</v>
      </c>
      <c r="K101" s="24">
        <f t="shared" si="35"/>
        <v>0.90566618446998015</v>
      </c>
      <c r="L101" s="24">
        <f t="shared" si="35"/>
        <v>0.91913682363815929</v>
      </c>
      <c r="M101" s="24">
        <f t="shared" si="35"/>
        <v>0.92477235615977804</v>
      </c>
      <c r="N101" s="24">
        <f t="shared" si="35"/>
        <v>0.93895335963672077</v>
      </c>
      <c r="O101" s="24">
        <f t="shared" si="35"/>
        <v>0.95374858853010092</v>
      </c>
      <c r="P101" s="24">
        <f t="shared" si="35"/>
        <v>0.96920409712305944</v>
      </c>
      <c r="Q101" s="24">
        <f t="shared" si="35"/>
        <v>0.98536929233976156</v>
      </c>
      <c r="R101" s="24">
        <f t="shared" si="35"/>
        <v>1.0022971763614523</v>
      </c>
      <c r="S101" s="24">
        <f t="shared" si="35"/>
        <v>1.0200446068656934</v>
      </c>
      <c r="T101" s="24">
        <f t="shared" si="35"/>
        <v>1.0386725760252495</v>
      </c>
    </row>
    <row r="102" spans="1:20">
      <c r="C102" s="526"/>
      <c r="D102" s="526"/>
      <c r="E102" s="526"/>
      <c r="F102" s="526"/>
      <c r="G102" s="526"/>
      <c r="H102" s="526"/>
      <c r="I102" s="526"/>
      <c r="J102" s="526"/>
      <c r="K102" s="526"/>
      <c r="L102" s="526"/>
      <c r="M102" s="526"/>
      <c r="N102" s="526"/>
      <c r="O102" s="526"/>
      <c r="P102" s="526"/>
      <c r="Q102" s="526"/>
      <c r="R102" s="526"/>
      <c r="S102" s="526"/>
      <c r="T102" s="526"/>
    </row>
    <row r="103" spans="1:20">
      <c r="C103" s="526"/>
      <c r="D103" s="526"/>
      <c r="E103" s="526"/>
      <c r="F103" s="526"/>
      <c r="G103" s="526"/>
      <c r="H103" s="526"/>
      <c r="I103" s="526"/>
      <c r="J103" s="526"/>
      <c r="K103" s="526"/>
      <c r="L103" s="526"/>
      <c r="M103" s="526"/>
      <c r="N103" s="526"/>
      <c r="O103" s="526"/>
      <c r="P103" s="526"/>
      <c r="Q103" s="526"/>
      <c r="R103" s="526"/>
      <c r="S103" s="526"/>
      <c r="T103" s="526"/>
    </row>
    <row r="104" spans="1:20">
      <c r="C104" s="526"/>
      <c r="D104" s="526"/>
      <c r="E104" s="526"/>
      <c r="F104" s="526"/>
      <c r="G104" s="526"/>
      <c r="H104" s="526"/>
      <c r="I104" s="526"/>
      <c r="J104" s="526"/>
      <c r="K104" s="526"/>
      <c r="L104" s="526"/>
      <c r="M104" s="526"/>
      <c r="N104" s="526"/>
      <c r="O104" s="526"/>
      <c r="P104" s="526"/>
      <c r="Q104" s="526"/>
      <c r="R104" s="526"/>
      <c r="S104" s="526"/>
      <c r="T104" s="526"/>
    </row>
    <row r="105" spans="1:20">
      <c r="C105" s="526"/>
      <c r="D105" s="526"/>
      <c r="E105" s="526"/>
      <c r="F105" s="526"/>
      <c r="G105" s="526"/>
      <c r="H105" s="526"/>
      <c r="I105" s="526"/>
      <c r="J105" s="526"/>
      <c r="K105" s="526"/>
      <c r="L105" s="526"/>
      <c r="M105" s="526"/>
      <c r="N105" s="526"/>
      <c r="O105" s="526"/>
      <c r="P105" s="526"/>
      <c r="Q105" s="526"/>
      <c r="R105" s="526"/>
      <c r="S105" s="526"/>
      <c r="T105" s="526"/>
    </row>
    <row r="106" spans="1:20">
      <c r="C106" s="526"/>
      <c r="D106" s="526"/>
      <c r="E106" s="526"/>
      <c r="F106" s="526"/>
      <c r="G106" s="526"/>
      <c r="H106" s="526"/>
      <c r="I106" s="526"/>
      <c r="J106" s="526"/>
      <c r="K106" s="526"/>
      <c r="L106" s="526"/>
      <c r="M106" s="526"/>
      <c r="N106" s="526"/>
      <c r="O106" s="526"/>
      <c r="P106" s="526"/>
      <c r="Q106" s="526"/>
      <c r="R106" s="526"/>
      <c r="S106" s="526"/>
      <c r="T106" s="526"/>
    </row>
    <row r="107" spans="1:20">
      <c r="C107" s="526"/>
      <c r="D107" s="526"/>
      <c r="E107" s="526"/>
      <c r="F107" s="526"/>
      <c r="G107" s="526"/>
      <c r="H107" s="526"/>
      <c r="I107" s="526"/>
      <c r="J107" s="526"/>
      <c r="K107" s="526"/>
      <c r="L107" s="526"/>
      <c r="M107" s="526"/>
      <c r="N107" s="526"/>
      <c r="O107" s="526"/>
      <c r="P107" s="526"/>
      <c r="Q107" s="526"/>
      <c r="R107" s="526"/>
      <c r="S107" s="526"/>
      <c r="T107" s="526"/>
    </row>
    <row r="108" spans="1:20">
      <c r="C108" s="526"/>
      <c r="D108" s="526"/>
      <c r="E108" s="526"/>
      <c r="F108" s="526"/>
      <c r="G108" s="526"/>
      <c r="H108" s="526"/>
      <c r="I108" s="526"/>
      <c r="J108" s="526"/>
      <c r="K108" s="526"/>
      <c r="L108" s="526"/>
      <c r="M108" s="526"/>
      <c r="N108" s="526"/>
      <c r="O108" s="526"/>
      <c r="P108" s="526"/>
      <c r="Q108" s="526"/>
      <c r="R108" s="526"/>
      <c r="S108" s="526"/>
      <c r="T108" s="526"/>
    </row>
    <row r="109" spans="1:20">
      <c r="C109" s="526"/>
      <c r="D109" s="526"/>
      <c r="E109" s="526"/>
      <c r="F109" s="526"/>
      <c r="G109" s="526"/>
      <c r="H109" s="526"/>
      <c r="I109" s="526"/>
      <c r="J109" s="526"/>
      <c r="K109" s="526"/>
      <c r="L109" s="526"/>
      <c r="M109" s="526"/>
      <c r="N109" s="526"/>
      <c r="O109" s="526"/>
      <c r="P109" s="526"/>
      <c r="Q109" s="526"/>
      <c r="R109" s="526"/>
      <c r="S109" s="526"/>
      <c r="T109" s="526"/>
    </row>
    <row r="111" spans="1:20">
      <c r="A111" s="22" t="s">
        <v>12</v>
      </c>
      <c r="B111" s="22" t="s">
        <v>272</v>
      </c>
    </row>
    <row r="112" spans="1:20">
      <c r="B112" s="58" t="s">
        <v>266</v>
      </c>
      <c r="C112" s="87">
        <f>'DM_xx_SR_železnice_ukazovat '!R19</f>
        <v>69529000</v>
      </c>
      <c r="D112" s="87">
        <f>'DM_xx_SR_železnice_ukazovat '!S19</f>
        <v>75370000</v>
      </c>
      <c r="E112" s="87">
        <f>'DM_xx_SR_železnice_ukazovat '!T19</f>
        <v>77753000</v>
      </c>
      <c r="F112" s="87">
        <f>'DM_xx_SR_železnice_ukazovat '!U19</f>
        <v>81420000</v>
      </c>
      <c r="G112" s="87">
        <f>'DM_xx_SR_železnice_ukazovat '!V19</f>
        <v>49577000</v>
      </c>
      <c r="H112" s="87">
        <f>'DM_xx_SR_železnice_ukazovat '!W19</f>
        <v>46345000</v>
      </c>
      <c r="I112" s="87">
        <f>'DM_xx_SR_železnice_ukazovat '!X19</f>
        <v>68138000</v>
      </c>
      <c r="J112" s="110">
        <f>'DM_xx_SR_železnice_ukazovat '!AA19</f>
        <v>69637036</v>
      </c>
      <c r="K112" s="110">
        <f>'DM_xx_SR_železnice_ukazovat '!AB19</f>
        <v>71169050.791999996</v>
      </c>
      <c r="L112" s="110">
        <f>'DM_xx_SR_železnice_ukazovat '!AC19</f>
        <v>72734769.909423992</v>
      </c>
      <c r="M112" s="110">
        <f>'DM_xx_SR_železnice_ukazovat '!AD19</f>
        <v>74334934.847431317</v>
      </c>
      <c r="N112" s="110">
        <f>'DM_xx_SR_železnice_ukazovat '!AE19</f>
        <v>75970303.414074808</v>
      </c>
      <c r="O112" s="110">
        <f>'DM_xx_SR_železnice_ukazovat '!AF19</f>
        <v>77641650.089184448</v>
      </c>
      <c r="P112" s="110">
        <f>'DM_xx_SR_železnice_ukazovat '!AG19</f>
        <v>79349766.391146511</v>
      </c>
      <c r="Q112" s="110">
        <f>'DM_xx_SR_železnice_ukazovat '!AH19</f>
        <v>81095461.251751736</v>
      </c>
      <c r="R112" s="110">
        <f>'DM_xx_SR_železnice_ukazovat '!AI19</f>
        <v>82879561.399290279</v>
      </c>
      <c r="S112" s="110">
        <f>'DM_xx_SR_železnice_ukazovat '!AJ19</f>
        <v>84702911.75007467</v>
      </c>
      <c r="T112" s="110">
        <f>'DM_xx_SR_železnice_ukazovat '!AK19</f>
        <v>86566375.808576316</v>
      </c>
    </row>
    <row r="113" spans="2:20">
      <c r="B113" s="22" t="s">
        <v>267</v>
      </c>
    </row>
    <row r="114" spans="2:20">
      <c r="B114" s="22" t="s">
        <v>268</v>
      </c>
    </row>
    <row r="115" spans="2:20">
      <c r="B115" s="58" t="s">
        <v>269</v>
      </c>
      <c r="C115" s="87">
        <f>'DM_xx_SR_železnice_ukazovat '!R21</f>
        <v>3595000000</v>
      </c>
      <c r="D115" s="87">
        <f>'DM_xx_SR_železnice_ukazovat '!S21</f>
        <v>3873000000</v>
      </c>
      <c r="E115" s="87">
        <f>'DM_xx_SR_železnice_ukazovat '!T21</f>
        <v>3915000000</v>
      </c>
      <c r="F115" s="87">
        <f>'DM_xx_SR_železnice_ukazovat '!U21</f>
        <v>4093000000</v>
      </c>
      <c r="G115" s="87">
        <f>'DM_xx_SR_železnice_ukazovat '!V21</f>
        <v>2180000000</v>
      </c>
      <c r="H115" s="87">
        <f>'DM_xx_SR_železnice_ukazovat '!W21</f>
        <v>2052000000</v>
      </c>
      <c r="I115" s="87">
        <f>'DM_xx_SR_železnice_ukazovat '!X21</f>
        <v>3354000000</v>
      </c>
      <c r="J115" s="110">
        <f>'DM_xx_SR_železnice_ukazovat '!AA21</f>
        <v>3449956246.9980145</v>
      </c>
      <c r="K115" s="110">
        <f>'DM_xx_SR_železnice_ukazovat '!AB21</f>
        <v>3548657753.7867098</v>
      </c>
      <c r="L115" s="110">
        <f>'DM_xx_SR_železnice_ukazovat '!AC21</f>
        <v>3650183060.8629699</v>
      </c>
      <c r="M115" s="110">
        <f>'DM_xx_SR_železnice_ukazovat '!AD21</f>
        <v>3754612955.7276492</v>
      </c>
      <c r="N115" s="110">
        <f>'DM_xx_SR_železnice_ukazovat '!AE21</f>
        <v>3862030537.1712232</v>
      </c>
      <c r="O115" s="110">
        <f>'DM_xx_SR_železnice_ukazovat '!AF21</f>
        <v>3972521281.3986158</v>
      </c>
      <c r="P115" s="110">
        <f>'DM_xx_SR_železnice_ukazovat '!AG21</f>
        <v>4086173110.0458293</v>
      </c>
      <c r="Q115" s="110">
        <f>'DM_xx_SR_železnice_ukazovat '!AH21</f>
        <v>4203076460.1424904</v>
      </c>
      <c r="R115" s="110">
        <f>'DM_xx_SR_železnice_ukazovat '!AI21</f>
        <v>4323324356.0759945</v>
      </c>
      <c r="S115" s="110">
        <f>'DM_xx_SR_železnice_ukazovat '!AJ21</f>
        <v>4447012483.6145039</v>
      </c>
      <c r="T115" s="110">
        <f>'DM_xx_SR_železnice_ukazovat '!AK21</f>
        <v>4574239266.0477076</v>
      </c>
    </row>
    <row r="116" spans="2:20">
      <c r="B116" s="58" t="s">
        <v>270</v>
      </c>
      <c r="C116" s="87">
        <f>'DM_xx_SR_železnice_ukazovat '!R22</f>
        <v>90635000</v>
      </c>
      <c r="D116" s="87">
        <f>'DM_xx_SR_železnice_ukazovat '!S22</f>
        <v>102446000</v>
      </c>
      <c r="E116" s="87">
        <f>'DM_xx_SR_železnice_ukazovat '!T22</f>
        <v>104345000</v>
      </c>
      <c r="F116" s="87">
        <f>'DM_xx_SR_železnice_ukazovat '!U22</f>
        <v>110060000</v>
      </c>
      <c r="G116" s="87">
        <f>'DM_xx_SR_železnice_ukazovat '!V22</f>
        <v>61082000</v>
      </c>
      <c r="H116" s="87">
        <f>'DM_xx_SR_železnice_ukazovat '!W22</f>
        <v>65362000</v>
      </c>
      <c r="I116" s="87">
        <f>'DM_xx_SR_železnice_ukazovat '!X22</f>
        <v>100622000</v>
      </c>
      <c r="J116" s="110">
        <f>'DM_xx_SR_železnice_ukazovat '!AA22</f>
        <v>103904239.63772288</v>
      </c>
      <c r="K116" s="110">
        <f>'DM_xx_SR_železnice_ukazovat '!AB22</f>
        <v>107293544.30137885</v>
      </c>
      <c r="L116" s="110">
        <f>'DM_xx_SR_železnice_ukazovat '!AC22</f>
        <v>110793406.39890982</v>
      </c>
      <c r="M116" s="110">
        <f>'DM_xx_SR_železnice_ukazovat '!AD22</f>
        <v>114407432.25886929</v>
      </c>
      <c r="N116" s="110">
        <f>'DM_xx_SR_železnice_ukazovat '!AE22</f>
        <v>118139345.84645607</v>
      </c>
      <c r="O116" s="110">
        <f>'DM_xx_SR_železnice_ukazovat '!AF22</f>
        <v>121992992.60076317</v>
      </c>
      <c r="P116" s="110">
        <f>'DM_xx_SR_železnice_ukazovat '!AG22</f>
        <v>125972343.39719595</v>
      </c>
      <c r="Q116" s="110">
        <f>'DM_xx_SR_železnice_ukazovat '!AH22</f>
        <v>130081498.63914219</v>
      </c>
      <c r="R116" s="110">
        <f>'DM_xx_SR_železnice_ukazovat '!AI22</f>
        <v>134324692.48311058</v>
      </c>
      <c r="S116" s="110">
        <f>'DM_xx_SR_železnice_ukazovat '!AJ22</f>
        <v>138706297.20169103</v>
      </c>
      <c r="T116" s="110">
        <f>'DM_xx_SR_železnice_ukazovat '!AK22</f>
        <v>143230827.68883261</v>
      </c>
    </row>
    <row r="117" spans="2:20">
      <c r="B117" s="22" t="s">
        <v>882</v>
      </c>
      <c r="C117" s="515">
        <f>'DM_xx_SR_železnice_ukazovat '!R23</f>
        <v>1.303556789253405</v>
      </c>
      <c r="D117" s="515">
        <f>'DM_xx_SR_železnice_ukazovat '!S23</f>
        <v>1.3592410773517314</v>
      </c>
      <c r="E117" s="515">
        <f>'DM_xx_SR_železnice_ukazovat '!T23</f>
        <v>1.3420060962277982</v>
      </c>
      <c r="F117" s="515">
        <f>'DM_xx_SR_železnice_ukazovat '!U23</f>
        <v>1.3517563252272169</v>
      </c>
      <c r="G117" s="515">
        <f>'DM_xx_SR_železnice_ukazovat '!V23</f>
        <v>1.2320632551384714</v>
      </c>
      <c r="H117" s="515">
        <f>'DM_xx_SR_železnice_ukazovat '!W23</f>
        <v>1.4103355270255691</v>
      </c>
      <c r="I117" s="515">
        <f>'DM_xx_SR_železnice_ukazovat '!X23</f>
        <v>1.4767383838680326</v>
      </c>
      <c r="J117" s="463">
        <f>'DM_xx_SR_železnice_ukazovat '!AA23</f>
        <v>1.4920830294632712</v>
      </c>
      <c r="K117" s="463">
        <f>'DM_xx_SR_železnice_ukazovat '!AB23</f>
        <v>1.5075871197854946</v>
      </c>
      <c r="L117" s="463">
        <f>'DM_xx_SR_železnice_ukazovat '!AC23</f>
        <v>1.5232523116094261</v>
      </c>
      <c r="M117" s="463">
        <f>'DM_xx_SR_železnice_ukazovat '!AD23</f>
        <v>1.5390802789251747</v>
      </c>
      <c r="N117" s="463">
        <f>'DM_xx_SR_železnice_ukazovat '!AE23</f>
        <v>1.5550727131171194</v>
      </c>
      <c r="O117" s="463">
        <f>'DM_xx_SR_železnice_ukazovat '!AF23</f>
        <v>1.5712313231446495</v>
      </c>
      <c r="P117" s="463">
        <f>'DM_xx_SR_železnice_ukazovat '!AG23</f>
        <v>1.5875578357247864</v>
      </c>
      <c r="Q117" s="463">
        <f>'DM_xx_SR_železnice_ukazovat '!AH23</f>
        <v>1.604053995516701</v>
      </c>
      <c r="R117" s="463">
        <f>'DM_xx_SR_železnice_ukazovat '!AI23</f>
        <v>1.6207215653081488</v>
      </c>
      <c r="S117" s="463">
        <f>'DM_xx_SR_železnice_ukazovat '!AJ23</f>
        <v>1.6375623262038421</v>
      </c>
      <c r="T117" s="463">
        <f>'DM_xx_SR_železnice_ukazovat '!AK23</f>
        <v>1.6545780778157797</v>
      </c>
    </row>
    <row r="118" spans="2:20">
      <c r="B118" s="22" t="s">
        <v>1032</v>
      </c>
      <c r="C118" s="524">
        <f>C115/C112</f>
        <v>51.705043938500481</v>
      </c>
      <c r="D118" s="524">
        <f t="shared" ref="D118:I118" si="36">D115/D112</f>
        <v>51.386493299721373</v>
      </c>
      <c r="E118" s="524">
        <f t="shared" si="36"/>
        <v>50.351754916209018</v>
      </c>
      <c r="F118" s="524">
        <f t="shared" si="36"/>
        <v>50.270203881110291</v>
      </c>
      <c r="G118" s="524">
        <f t="shared" si="36"/>
        <v>43.972003146620409</v>
      </c>
      <c r="H118" s="524">
        <f t="shared" si="36"/>
        <v>44.276620994713561</v>
      </c>
      <c r="I118" s="524">
        <f t="shared" si="36"/>
        <v>49.223634389034018</v>
      </c>
      <c r="J118" s="525">
        <f t="shared" ref="J118:T118" si="37">J115/J112</f>
        <v>49.541974287906427</v>
      </c>
      <c r="K118" s="525">
        <f t="shared" si="37"/>
        <v>49.862372959814842</v>
      </c>
      <c r="L118" s="525">
        <f t="shared" si="37"/>
        <v>50.184843719290136</v>
      </c>
      <c r="M118" s="525">
        <f t="shared" si="37"/>
        <v>50.509399966971138</v>
      </c>
      <c r="N118" s="525">
        <f t="shared" si="37"/>
        <v>50.836055190161524</v>
      </c>
      <c r="O118" s="525">
        <f t="shared" si="37"/>
        <v>51.164822963390257</v>
      </c>
      <c r="P118" s="525">
        <f t="shared" si="37"/>
        <v>51.495716948975748</v>
      </c>
      <c r="Q118" s="525">
        <f t="shared" si="37"/>
        <v>51.828750897593544</v>
      </c>
      <c r="R118" s="525">
        <f t="shared" si="37"/>
        <v>52.163938648847825</v>
      </c>
      <c r="S118" s="525">
        <f t="shared" si="37"/>
        <v>52.501294131846457</v>
      </c>
      <c r="T118" s="525">
        <f t="shared" si="37"/>
        <v>52.840831365779877</v>
      </c>
    </row>
    <row r="119" spans="2:20">
      <c r="C119" s="88"/>
      <c r="D119" s="88"/>
      <c r="E119" s="88"/>
      <c r="F119" s="88"/>
      <c r="G119" s="88"/>
      <c r="H119" s="88"/>
      <c r="I119" s="88"/>
      <c r="J119" s="88"/>
      <c r="K119" s="88"/>
      <c r="L119" s="88"/>
      <c r="M119" s="88"/>
      <c r="N119" s="88"/>
      <c r="O119" s="88"/>
      <c r="P119" s="88"/>
      <c r="Q119" s="88"/>
      <c r="R119" s="88"/>
      <c r="S119" s="88"/>
      <c r="T119" s="88"/>
    </row>
    <row r="120" spans="2:20">
      <c r="C120" s="88"/>
      <c r="D120" s="88"/>
      <c r="E120" s="88"/>
      <c r="F120" s="88"/>
      <c r="G120" s="88"/>
      <c r="H120" s="88"/>
      <c r="I120" s="88"/>
      <c r="J120" s="88"/>
      <c r="K120" s="88"/>
      <c r="L120" s="88"/>
      <c r="M120" s="88"/>
      <c r="N120" s="88"/>
      <c r="O120" s="88"/>
      <c r="P120" s="88"/>
      <c r="Q120" s="88"/>
      <c r="R120" s="88"/>
      <c r="S120" s="88"/>
      <c r="T120" s="88"/>
    </row>
    <row r="121" spans="2:20">
      <c r="C121" s="88"/>
      <c r="D121" s="88"/>
      <c r="E121" s="88"/>
      <c r="F121" s="88"/>
      <c r="G121" s="88"/>
      <c r="H121" s="88"/>
      <c r="I121" s="88"/>
      <c r="J121" s="88"/>
      <c r="K121" s="88"/>
      <c r="L121" s="88"/>
      <c r="M121" s="88"/>
      <c r="N121" s="88"/>
      <c r="O121" s="88"/>
      <c r="P121" s="88"/>
      <c r="Q121" s="88"/>
      <c r="R121" s="88"/>
      <c r="S121" s="88"/>
      <c r="T121" s="88"/>
    </row>
    <row r="122" spans="2:20">
      <c r="B122" s="22" t="s">
        <v>271</v>
      </c>
    </row>
    <row r="123" spans="2:20">
      <c r="B123" s="22" t="s">
        <v>269</v>
      </c>
      <c r="C123" s="87">
        <f>DM_xx_SR_IAD_ukazovatele!R11</f>
        <v>27836000000</v>
      </c>
      <c r="D123" s="87">
        <f>DM_xx_SR_IAD_ukazovatele!S11</f>
        <v>28125000000</v>
      </c>
      <c r="E123" s="87">
        <f>DM_xx_SR_IAD_ukazovatele!T11</f>
        <v>28460000000</v>
      </c>
      <c r="F123" s="87">
        <f>DM_xx_SR_IAD_ukazovatele!U11</f>
        <v>28616000000</v>
      </c>
      <c r="G123" s="110">
        <f>DM_xx_SR_IAD_ukazovatele!V11</f>
        <v>28816038404.761032</v>
      </c>
      <c r="H123" s="110">
        <f>DM_xx_SR_IAD_ukazovatele!W11</f>
        <v>29017475165.804539</v>
      </c>
      <c r="I123" s="110">
        <f>DM_xx_SR_IAD_ukazovatele!X11</f>
        <v>29220320058.254929</v>
      </c>
      <c r="J123" s="110">
        <f>DM_xx_SR_IAD_ukazovatele!AA11</f>
        <v>29424582925.569023</v>
      </c>
      <c r="K123" s="110">
        <f>DM_xx_SR_IAD_ukazovatele!AB11</f>
        <v>29630273680.013721</v>
      </c>
      <c r="L123" s="110">
        <f>DM_xx_SR_IAD_ukazovatele!AC11</f>
        <v>29837402303.14703</v>
      </c>
      <c r="M123" s="110">
        <f>DM_xx_SR_IAD_ukazovatele!AD11</f>
        <v>30045978846.302422</v>
      </c>
      <c r="N123" s="110">
        <f>DM_xx_SR_IAD_ukazovatele!AE11</f>
        <v>30256013431.076607</v>
      </c>
      <c r="O123" s="110">
        <f>DM_xx_SR_IAD_ukazovatele!AF11</f>
        <v>30467516249.820698</v>
      </c>
      <c r="P123" s="110">
        <f>DM_xx_SR_IAD_ukazovatele!AG11</f>
        <v>30680497566.134819</v>
      </c>
      <c r="Q123" s="110">
        <f>DM_xx_SR_IAD_ukazovatele!AH11</f>
        <v>30894967715.366169</v>
      </c>
      <c r="R123" s="110">
        <f>DM_xx_SR_IAD_ukazovatele!AI11</f>
        <v>31110937105.110558</v>
      </c>
      <c r="S123" s="110">
        <f>DM_xx_SR_IAD_ukazovatele!AJ11</f>
        <v>31328416215.717461</v>
      </c>
      <c r="T123" s="110">
        <f>DM_xx_SR_IAD_ukazovatele!AK11</f>
        <v>31547415600.798595</v>
      </c>
    </row>
    <row r="125" spans="2:20">
      <c r="B125" s="22" t="s">
        <v>1119</v>
      </c>
      <c r="I125" s="563">
        <f>DM_xx_SR_IAD_ukazovatele!X23</f>
        <v>2.2624919412470952E-3</v>
      </c>
      <c r="J125" s="563">
        <f>DM_xx_SR_IAD_ukazovatele!AA23</f>
        <v>3.1743099976780332E-3</v>
      </c>
      <c r="K125" s="563">
        <f>DM_xx_SR_IAD_ukazovatele!AB23</f>
        <v>4.9926911429434657E-3</v>
      </c>
      <c r="L125" s="563">
        <f>DM_xx_SR_IAD_ukazovatele!AC23</f>
        <v>9.5652097849247709E-3</v>
      </c>
      <c r="M125" s="563">
        <f>DM_xx_SR_IAD_ukazovatele!AD23</f>
        <v>1.5546115440554448E-2</v>
      </c>
      <c r="N125" s="563">
        <f>DM_xx_SR_IAD_ukazovatele!AE23</f>
        <v>2.2879260939635774E-2</v>
      </c>
      <c r="O125" s="563">
        <f>DM_xx_SR_IAD_ukazovatele!AF23</f>
        <v>3.1509955519376742E-2</v>
      </c>
      <c r="P125" s="563">
        <f>DM_xx_SR_IAD_ukazovatele!AG23</f>
        <v>4.1384933452214341E-2</v>
      </c>
      <c r="Q125" s="563">
        <f>DM_xx_SR_IAD_ukazovatele!AH23</f>
        <v>5.2452323282211499E-2</v>
      </c>
      <c r="R125" s="563">
        <f>DM_xx_SR_IAD_ukazovatele!AI23</f>
        <v>6.4950161033735465E-2</v>
      </c>
      <c r="S125" s="563">
        <f>DM_xx_SR_IAD_ukazovatele!AJ23</f>
        <v>7.9103379935756127E-2</v>
      </c>
      <c r="T125" s="563">
        <f>DM_xx_SR_IAD_ukazovatele!AK23</f>
        <v>9.5124233893091117E-2</v>
      </c>
    </row>
    <row r="126" spans="2:20">
      <c r="B126" s="22" t="s">
        <v>1120</v>
      </c>
      <c r="I126" s="563">
        <f>DM_xx_SR_IAD_ukazovatele!X24</f>
        <v>0.99773750805875294</v>
      </c>
      <c r="J126" s="563">
        <f>DM_xx_SR_IAD_ukazovatele!AA24</f>
        <v>0.99682569000232202</v>
      </c>
      <c r="K126" s="563">
        <f>DM_xx_SR_IAD_ukazovatele!AB24</f>
        <v>0.99500730885705657</v>
      </c>
      <c r="L126" s="563">
        <f>DM_xx_SR_IAD_ukazovatele!AC24</f>
        <v>0.99043479021507519</v>
      </c>
      <c r="M126" s="563">
        <f>DM_xx_SR_IAD_ukazovatele!AD24</f>
        <v>0.9844538845594456</v>
      </c>
      <c r="N126" s="563">
        <f>DM_xx_SR_IAD_ukazovatele!AE24</f>
        <v>0.97712073906036423</v>
      </c>
      <c r="O126" s="563">
        <f>DM_xx_SR_IAD_ukazovatele!AF24</f>
        <v>0.96849004448062326</v>
      </c>
      <c r="P126" s="563">
        <f>DM_xx_SR_IAD_ukazovatele!AG24</f>
        <v>0.95861506654778561</v>
      </c>
      <c r="Q126" s="563">
        <f>DM_xx_SR_IAD_ukazovatele!AH24</f>
        <v>0.9475476767177885</v>
      </c>
      <c r="R126" s="563">
        <f>DM_xx_SR_IAD_ukazovatele!AI24</f>
        <v>0.93504983896626448</v>
      </c>
      <c r="S126" s="563">
        <f>DM_xx_SR_IAD_ukazovatele!AJ24</f>
        <v>0.92089662006424389</v>
      </c>
      <c r="T126" s="563">
        <f>DM_xx_SR_IAD_ukazovatele!AK24</f>
        <v>0.9048757661069089</v>
      </c>
    </row>
    <row r="129" spans="2:20">
      <c r="B129" s="22" t="s">
        <v>1117</v>
      </c>
    </row>
    <row r="130" spans="2:20">
      <c r="B130" s="57" t="s">
        <v>1123</v>
      </c>
      <c r="C130" s="530">
        <f>C6+C56+C115</f>
        <v>7287308722.9564209</v>
      </c>
      <c r="D130" s="530">
        <f t="shared" ref="D130:T130" si="38">D6+D56+D115</f>
        <v>7869894992.1827641</v>
      </c>
      <c r="E130" s="530">
        <f t="shared" si="38"/>
        <v>8172649928.7473202</v>
      </c>
      <c r="F130" s="530">
        <f t="shared" si="38"/>
        <v>8360769512.116087</v>
      </c>
      <c r="G130" s="530">
        <f t="shared" si="38"/>
        <v>4842001360.1374216</v>
      </c>
      <c r="H130" s="530">
        <f t="shared" si="38"/>
        <v>4547850299.8386412</v>
      </c>
      <c r="I130" s="530">
        <f t="shared" si="38"/>
        <v>6891747516.5649738</v>
      </c>
      <c r="J130" s="530">
        <f t="shared" si="38"/>
        <v>7290543945.0960808</v>
      </c>
      <c r="K130" s="530">
        <f t="shared" si="38"/>
        <v>7417543876.3544445</v>
      </c>
      <c r="L130" s="530">
        <f t="shared" si="38"/>
        <v>7575002188.3351517</v>
      </c>
      <c r="M130" s="530">
        <f t="shared" si="38"/>
        <v>7737016468.8284664</v>
      </c>
      <c r="N130" s="530">
        <f t="shared" si="38"/>
        <v>7903738138.6547203</v>
      </c>
      <c r="O130" s="530">
        <f t="shared" si="38"/>
        <v>8075325003.9010038</v>
      </c>
      <c r="P130" s="530">
        <f t="shared" si="38"/>
        <v>8251941580.6141396</v>
      </c>
      <c r="Q130" s="530">
        <f t="shared" si="38"/>
        <v>8433759438.4138699</v>
      </c>
      <c r="R130" s="530">
        <f t="shared" si="38"/>
        <v>8620957564.2118015</v>
      </c>
      <c r="S130" s="530">
        <f t="shared" si="38"/>
        <v>8813722747.2986565</v>
      </c>
      <c r="T130" s="530">
        <f t="shared" si="38"/>
        <v>9012249987.1442986</v>
      </c>
    </row>
    <row r="131" spans="2:20">
      <c r="B131" s="599" t="s">
        <v>1034</v>
      </c>
      <c r="C131" s="563">
        <f>C17/C130</f>
        <v>6.6976016578058781E-2</v>
      </c>
      <c r="D131" s="563">
        <f t="shared" ref="D131:T131" si="39">D17/D130</f>
        <v>6.7041829706495401E-2</v>
      </c>
      <c r="E131" s="563">
        <f t="shared" si="39"/>
        <v>6.529768459655684E-2</v>
      </c>
      <c r="F131" s="563">
        <f t="shared" si="39"/>
        <v>6.5480269613642103E-2</v>
      </c>
      <c r="G131" s="563">
        <f t="shared" si="39"/>
        <v>8.3885210996499995E-2</v>
      </c>
      <c r="H131" s="563">
        <f t="shared" si="39"/>
        <v>8.7436832495937353E-2</v>
      </c>
      <c r="I131" s="563">
        <f t="shared" si="39"/>
        <v>9.6485524260836217E-2</v>
      </c>
      <c r="J131" s="563">
        <f t="shared" si="39"/>
        <v>9.8099083212751653E-2</v>
      </c>
      <c r="K131" s="563">
        <f t="shared" si="39"/>
        <v>9.8692086610932539E-2</v>
      </c>
      <c r="L131" s="563">
        <f t="shared" si="39"/>
        <v>9.8920671053629769E-2</v>
      </c>
      <c r="M131" s="563">
        <f t="shared" si="39"/>
        <v>9.9136349540468988E-2</v>
      </c>
      <c r="N131" s="563">
        <f t="shared" si="39"/>
        <v>9.9338882245720628E-2</v>
      </c>
      <c r="O131" s="563">
        <f t="shared" si="39"/>
        <v>9.9528023047597586E-2</v>
      </c>
      <c r="P131" s="563">
        <f t="shared" si="39"/>
        <v>9.9703519617284825E-2</v>
      </c>
      <c r="Q131" s="563">
        <f t="shared" si="39"/>
        <v>9.9865113533062266E-2</v>
      </c>
      <c r="R131" s="563">
        <f t="shared" si="39"/>
        <v>0.100012540420486</v>
      </c>
      <c r="S131" s="563">
        <f t="shared" si="39"/>
        <v>0.10014553011961569</v>
      </c>
      <c r="T131" s="563">
        <f t="shared" si="39"/>
        <v>0.10026380688030917</v>
      </c>
    </row>
    <row r="132" spans="2:20">
      <c r="B132" s="599" t="s">
        <v>1035</v>
      </c>
      <c r="C132" s="563">
        <f>C21/C130</f>
        <v>9.7282154100125931E-2</v>
      </c>
      <c r="D132" s="563">
        <f t="shared" ref="D132:T132" si="40">D21/D130</f>
        <v>9.6746886824077755E-2</v>
      </c>
      <c r="E132" s="563">
        <f t="shared" si="40"/>
        <v>9.3647089904399544E-2</v>
      </c>
      <c r="F132" s="563">
        <f t="shared" si="40"/>
        <v>9.3237178352955419E-2</v>
      </c>
      <c r="G132" s="563">
        <f t="shared" si="40"/>
        <v>0.11871696257499978</v>
      </c>
      <c r="H132" s="563">
        <f t="shared" si="40"/>
        <v>0.1172752707219351</v>
      </c>
      <c r="I132" s="563">
        <f t="shared" si="40"/>
        <v>0.12871135015593829</v>
      </c>
      <c r="J132" s="563">
        <f t="shared" si="40"/>
        <v>0.12941315257541772</v>
      </c>
      <c r="K132" s="563">
        <f t="shared" si="40"/>
        <v>0.12873985119103082</v>
      </c>
      <c r="L132" s="563">
        <f t="shared" si="40"/>
        <v>0.12758323628158263</v>
      </c>
      <c r="M132" s="563">
        <f t="shared" si="40"/>
        <v>0.12640793428919034</v>
      </c>
      <c r="N132" s="563">
        <f t="shared" si="40"/>
        <v>0.12521454523725756</v>
      </c>
      <c r="O132" s="563">
        <f t="shared" si="40"/>
        <v>0.12400366944199809</v>
      </c>
      <c r="P132" s="563">
        <f t="shared" si="40"/>
        <v>0.12277590728866662</v>
      </c>
      <c r="Q132" s="563">
        <f t="shared" si="40"/>
        <v>0.12153185902702572</v>
      </c>
      <c r="R132" s="563">
        <f t="shared" si="40"/>
        <v>0.12027212458557797</v>
      </c>
      <c r="S132" s="563">
        <f t="shared" si="40"/>
        <v>0.11899730340406625</v>
      </c>
      <c r="T132" s="563">
        <f t="shared" si="40"/>
        <v>0.11770799428372386</v>
      </c>
    </row>
    <row r="133" spans="2:20">
      <c r="B133" s="57" t="s">
        <v>1118</v>
      </c>
      <c r="C133" s="600">
        <f>C6/C130</f>
        <v>0.16425817067818471</v>
      </c>
      <c r="D133" s="600">
        <f t="shared" ref="D133:T133" si="41">D6/D130</f>
        <v>0.16378871653057317</v>
      </c>
      <c r="E133" s="600">
        <f t="shared" si="41"/>
        <v>0.15894477450095637</v>
      </c>
      <c r="F133" s="600">
        <f t="shared" si="41"/>
        <v>0.15871744796659754</v>
      </c>
      <c r="G133" s="600">
        <f t="shared" si="41"/>
        <v>0.20260217357149979</v>
      </c>
      <c r="H133" s="600">
        <f t="shared" si="41"/>
        <v>0.20471210321787242</v>
      </c>
      <c r="I133" s="600">
        <f t="shared" si="41"/>
        <v>0.2251968744167745</v>
      </c>
      <c r="J133" s="600">
        <f t="shared" si="41"/>
        <v>0.22751223578816931</v>
      </c>
      <c r="K133" s="600">
        <f t="shared" si="41"/>
        <v>0.22743193780196336</v>
      </c>
      <c r="L133" s="600">
        <f t="shared" si="41"/>
        <v>0.22650390733521236</v>
      </c>
      <c r="M133" s="600">
        <f t="shared" si="41"/>
        <v>0.2255442838296593</v>
      </c>
      <c r="N133" s="600">
        <f t="shared" si="41"/>
        <v>0.22455342748297816</v>
      </c>
      <c r="O133" s="600">
        <f t="shared" si="41"/>
        <v>0.2235316924895957</v>
      </c>
      <c r="P133" s="600">
        <f t="shared" si="41"/>
        <v>0.22247942690595143</v>
      </c>
      <c r="Q133" s="600">
        <f t="shared" si="41"/>
        <v>0.221396972560088</v>
      </c>
      <c r="R133" s="600">
        <f t="shared" si="41"/>
        <v>0.22028466500606395</v>
      </c>
      <c r="S133" s="600">
        <f t="shared" si="41"/>
        <v>0.21914283352368191</v>
      </c>
      <c r="T133" s="600">
        <f t="shared" si="41"/>
        <v>0.21797180116403303</v>
      </c>
    </row>
    <row r="134" spans="2:20">
      <c r="B134" s="599" t="s">
        <v>1031</v>
      </c>
      <c r="C134" s="563">
        <f>C79/C130</f>
        <v>0.15657406081841818</v>
      </c>
      <c r="D134" s="563">
        <f t="shared" ref="D134:T134" si="42">D79/D130</f>
        <v>0.17187870836533409</v>
      </c>
      <c r="E134" s="563">
        <f t="shared" si="42"/>
        <v>0.19499171736753529</v>
      </c>
      <c r="F134" s="563">
        <f t="shared" si="42"/>
        <v>0.19341987491475973</v>
      </c>
      <c r="G134" s="563">
        <f t="shared" si="42"/>
        <v>0.17381141842080433</v>
      </c>
      <c r="H134" s="563">
        <f t="shared" si="42"/>
        <v>0.16242749276494484</v>
      </c>
      <c r="I134" s="563">
        <f t="shared" si="42"/>
        <v>0.13585192005430485</v>
      </c>
      <c r="J134" s="563">
        <f t="shared" si="42"/>
        <v>0.14189468057849622</v>
      </c>
      <c r="K134" s="563">
        <f t="shared" si="42"/>
        <v>0.13946522212435178</v>
      </c>
      <c r="L134" s="563">
        <f t="shared" si="42"/>
        <v>0.13697791747001054</v>
      </c>
      <c r="M134" s="563">
        <f t="shared" si="42"/>
        <v>0.1345320662009393</v>
      </c>
      <c r="N134" s="563">
        <f t="shared" si="42"/>
        <v>0.13212690507062516</v>
      </c>
      <c r="O134" s="563">
        <f t="shared" si="42"/>
        <v>0.12976167384443954</v>
      </c>
      <c r="P134" s="563">
        <f t="shared" si="42"/>
        <v>0.12743561601340098</v>
      </c>
      <c r="Q134" s="563">
        <f t="shared" si="42"/>
        <v>0.12514797947419015</v>
      </c>
      <c r="R134" s="563">
        <f t="shared" si="42"/>
        <v>0.12289801717669285</v>
      </c>
      <c r="S134" s="563">
        <f t="shared" si="42"/>
        <v>0.12068498774037228</v>
      </c>
      <c r="T134" s="563">
        <f t="shared" si="42"/>
        <v>0.1185081560407919</v>
      </c>
    </row>
    <row r="135" spans="2:20">
      <c r="B135" s="599" t="s">
        <v>1033</v>
      </c>
      <c r="C135" s="563">
        <f>C85/C130</f>
        <v>0.18584435698453833</v>
      </c>
      <c r="D135" s="563">
        <f t="shared" ref="D135:T135" si="43">D85/D130</f>
        <v>0.17220402652154049</v>
      </c>
      <c r="E135" s="563">
        <f t="shared" si="43"/>
        <v>0.16702671662169749</v>
      </c>
      <c r="F135" s="563">
        <f t="shared" si="43"/>
        <v>0.15831443708301068</v>
      </c>
      <c r="G135" s="563">
        <f t="shared" si="43"/>
        <v>0.17335935562658525</v>
      </c>
      <c r="H135" s="563">
        <f t="shared" si="43"/>
        <v>0.18165821733289253</v>
      </c>
      <c r="I135" s="563">
        <f t="shared" si="43"/>
        <v>0.1522821869761746</v>
      </c>
      <c r="J135" s="563">
        <f t="shared" si="43"/>
        <v>0.15738336526676508</v>
      </c>
      <c r="K135" s="563">
        <f t="shared" si="43"/>
        <v>0.15468871635018697</v>
      </c>
      <c r="L135" s="563">
        <f t="shared" si="43"/>
        <v>0.1546459631333818</v>
      </c>
      <c r="M135" s="563">
        <f t="shared" si="43"/>
        <v>0.1546444766789547</v>
      </c>
      <c r="N135" s="563">
        <f t="shared" si="43"/>
        <v>0.15468625507621253</v>
      </c>
      <c r="O135" s="563">
        <f t="shared" si="43"/>
        <v>0.1547733332130935</v>
      </c>
      <c r="P135" s="563">
        <f t="shared" si="43"/>
        <v>0.15490778330553701</v>
      </c>
      <c r="Q135" s="563">
        <f t="shared" si="43"/>
        <v>0.15509171535767677</v>
      </c>
      <c r="R135" s="563">
        <f t="shared" si="43"/>
        <v>0.15532727754336234</v>
      </c>
      <c r="S135" s="563">
        <f t="shared" si="43"/>
        <v>0.15561665649904732</v>
      </c>
      <c r="T135" s="563">
        <f t="shared" si="43"/>
        <v>0.15596207751761165</v>
      </c>
    </row>
    <row r="136" spans="2:20">
      <c r="B136" s="57" t="s">
        <v>1121</v>
      </c>
      <c r="C136" s="655">
        <f>C56/C130</f>
        <v>0.34241841780295651</v>
      </c>
      <c r="D136" s="655">
        <f t="shared" ref="D136:T136" si="44">D56/D130</f>
        <v>0.34408273488687452</v>
      </c>
      <c r="E136" s="655">
        <f t="shared" si="44"/>
        <v>0.36201843398923278</v>
      </c>
      <c r="F136" s="655">
        <f t="shared" si="44"/>
        <v>0.35173431199777044</v>
      </c>
      <c r="G136" s="655">
        <f t="shared" si="44"/>
        <v>0.34717077404738955</v>
      </c>
      <c r="H136" s="655">
        <f t="shared" si="44"/>
        <v>0.34408571009783734</v>
      </c>
      <c r="I136" s="655">
        <f t="shared" si="44"/>
        <v>0.28813410703047948</v>
      </c>
      <c r="J136" s="655">
        <f t="shared" si="44"/>
        <v>0.2992780458452613</v>
      </c>
      <c r="K136" s="655">
        <f t="shared" si="44"/>
        <v>0.29415393847453875</v>
      </c>
      <c r="L136" s="655">
        <f t="shared" si="44"/>
        <v>0.29162388060339228</v>
      </c>
      <c r="M136" s="655">
        <f t="shared" si="44"/>
        <v>0.28917654287989403</v>
      </c>
      <c r="N136" s="655">
        <f t="shared" si="44"/>
        <v>0.28681316014683766</v>
      </c>
      <c r="O136" s="655">
        <f t="shared" si="44"/>
        <v>0.28453500705753304</v>
      </c>
      <c r="P136" s="655">
        <f t="shared" si="44"/>
        <v>0.28234339931893798</v>
      </c>
      <c r="Q136" s="655">
        <f t="shared" si="44"/>
        <v>0.28023969483186695</v>
      </c>
      <c r="R136" s="655">
        <f t="shared" si="44"/>
        <v>0.27822529472005519</v>
      </c>
      <c r="S136" s="655">
        <f t="shared" si="44"/>
        <v>0.27630164423941966</v>
      </c>
      <c r="T136" s="655">
        <f t="shared" si="44"/>
        <v>0.27447023355840355</v>
      </c>
    </row>
    <row r="137" spans="2:20">
      <c r="B137" s="57" t="s">
        <v>1122</v>
      </c>
      <c r="C137" s="655">
        <f>C115/C130</f>
        <v>0.49332341151885883</v>
      </c>
      <c r="D137" s="655">
        <f t="shared" ref="D137:T137" si="45">D115/D130</f>
        <v>0.49212854858255223</v>
      </c>
      <c r="E137" s="655">
        <f t="shared" si="45"/>
        <v>0.47903679150981077</v>
      </c>
      <c r="F137" s="655">
        <f t="shared" si="45"/>
        <v>0.48954824003563202</v>
      </c>
      <c r="G137" s="655">
        <f t="shared" si="45"/>
        <v>0.45022705238111066</v>
      </c>
      <c r="H137" s="655">
        <f t="shared" si="45"/>
        <v>0.45120218668429024</v>
      </c>
      <c r="I137" s="655">
        <f t="shared" si="45"/>
        <v>0.48666901855274591</v>
      </c>
      <c r="J137" s="655">
        <f t="shared" si="45"/>
        <v>0.47320971836656944</v>
      </c>
      <c r="K137" s="655">
        <f t="shared" si="45"/>
        <v>0.47841412372349795</v>
      </c>
      <c r="L137" s="655">
        <f t="shared" si="45"/>
        <v>0.48187221206139536</v>
      </c>
      <c r="M137" s="655">
        <f t="shared" si="45"/>
        <v>0.48527917329044667</v>
      </c>
      <c r="N137" s="655">
        <f t="shared" si="45"/>
        <v>0.48863341237018409</v>
      </c>
      <c r="O137" s="655">
        <f t="shared" si="45"/>
        <v>0.4919333004528712</v>
      </c>
      <c r="P137" s="655">
        <f t="shared" si="45"/>
        <v>0.49517717377511067</v>
      </c>
      <c r="Q137" s="655">
        <f t="shared" si="45"/>
        <v>0.498363332608045</v>
      </c>
      <c r="R137" s="655">
        <f t="shared" si="45"/>
        <v>0.50149004027388089</v>
      </c>
      <c r="S137" s="655">
        <f t="shared" si="45"/>
        <v>0.50455552223689837</v>
      </c>
      <c r="T137" s="655">
        <f t="shared" si="45"/>
        <v>0.50755796527756347</v>
      </c>
    </row>
    <row r="139" spans="2:20">
      <c r="B139" s="22" t="s">
        <v>1124</v>
      </c>
    </row>
    <row r="140" spans="2:20">
      <c r="B140" s="57" t="s">
        <v>1123</v>
      </c>
      <c r="C140" s="530">
        <f>C6+C56</f>
        <v>3692308722.9564214</v>
      </c>
      <c r="D140" s="530">
        <f t="shared" ref="D140:T140" si="46">D6+D56</f>
        <v>3996894992.1827636</v>
      </c>
      <c r="E140" s="530">
        <f t="shared" si="46"/>
        <v>4257649928.7473197</v>
      </c>
      <c r="F140" s="530">
        <f t="shared" si="46"/>
        <v>4267769512.1160865</v>
      </c>
      <c r="G140" s="530">
        <f t="shared" si="46"/>
        <v>2662001360.1374216</v>
      </c>
      <c r="H140" s="530">
        <f t="shared" si="46"/>
        <v>2495850299.8386412</v>
      </c>
      <c r="I140" s="530">
        <f t="shared" si="46"/>
        <v>3537747516.5649734</v>
      </c>
      <c r="J140" s="530">
        <f t="shared" si="46"/>
        <v>3840587698.0980663</v>
      </c>
      <c r="K140" s="530">
        <f t="shared" si="46"/>
        <v>3868886122.5677347</v>
      </c>
      <c r="L140" s="530">
        <f t="shared" si="46"/>
        <v>3924819127.4721813</v>
      </c>
      <c r="M140" s="530">
        <f t="shared" si="46"/>
        <v>3982403513.1008172</v>
      </c>
      <c r="N140" s="530">
        <f t="shared" si="46"/>
        <v>4041707601.4834967</v>
      </c>
      <c r="O140" s="530">
        <f t="shared" si="46"/>
        <v>4102803722.502388</v>
      </c>
      <c r="P140" s="530">
        <f t="shared" si="46"/>
        <v>4165768470.5683107</v>
      </c>
      <c r="Q140" s="530">
        <f t="shared" si="46"/>
        <v>4230682978.2713795</v>
      </c>
      <c r="R140" s="530">
        <f t="shared" si="46"/>
        <v>4297633208.135807</v>
      </c>
      <c r="S140" s="530">
        <f t="shared" si="46"/>
        <v>4366710263.6841516</v>
      </c>
      <c r="T140" s="530">
        <f t="shared" si="46"/>
        <v>4438010721.096591</v>
      </c>
    </row>
    <row r="141" spans="2:20">
      <c r="B141" s="599" t="s">
        <v>1034</v>
      </c>
      <c r="C141" s="563">
        <f>C17/C140</f>
        <v>0.13218691784996822</v>
      </c>
      <c r="D141" s="563">
        <f t="shared" ref="D141:T141" si="47">D17/D140</f>
        <v>0.13200550950321091</v>
      </c>
      <c r="E141" s="563">
        <f t="shared" si="47"/>
        <v>0.12534029953055031</v>
      </c>
      <c r="F141" s="563">
        <f t="shared" si="47"/>
        <v>0.1282790554355478</v>
      </c>
      <c r="G141" s="563">
        <f t="shared" si="47"/>
        <v>0.15258155454867969</v>
      </c>
      <c r="H141" s="563">
        <f t="shared" si="47"/>
        <v>0.15932430919807095</v>
      </c>
      <c r="I141" s="563">
        <f t="shared" si="47"/>
        <v>0.18795967465047761</v>
      </c>
      <c r="J141" s="563">
        <f t="shared" si="47"/>
        <v>0.18622037390016688</v>
      </c>
      <c r="K141" s="563">
        <f t="shared" si="47"/>
        <v>0.18921541226437291</v>
      </c>
      <c r="L141" s="563">
        <f t="shared" si="47"/>
        <v>0.19091944758877002</v>
      </c>
      <c r="M141" s="563">
        <f t="shared" si="47"/>
        <v>0.19260217266555185</v>
      </c>
      <c r="N141" s="563">
        <f t="shared" si="47"/>
        <v>0.19426158190380866</v>
      </c>
      <c r="O141" s="563">
        <f t="shared" si="47"/>
        <v>0.19589558445045316</v>
      </c>
      <c r="P141" s="563">
        <f t="shared" si="47"/>
        <v>0.19750200355018957</v>
      </c>
      <c r="Q141" s="563">
        <f t="shared" si="47"/>
        <v>0.1990785762377941</v>
      </c>
      <c r="R141" s="563">
        <f t="shared" si="47"/>
        <v>0.20062295340183936</v>
      </c>
      <c r="S141" s="563">
        <f t="shared" si="47"/>
        <v>0.20213270026091726</v>
      </c>
      <c r="T141" s="563">
        <f t="shared" si="47"/>
        <v>0.20360529729518839</v>
      </c>
    </row>
    <row r="142" spans="2:20">
      <c r="B142" s="599" t="s">
        <v>1035</v>
      </c>
      <c r="C142" s="563">
        <f>C21/C140</f>
        <v>0.19200049165829342</v>
      </c>
      <c r="D142" s="563">
        <f t="shared" ref="D142:T142" si="48">D21/D140</f>
        <v>0.19049483201715964</v>
      </c>
      <c r="E142" s="563">
        <f t="shared" si="48"/>
        <v>0.17975758821011467</v>
      </c>
      <c r="F142" s="563">
        <f t="shared" si="48"/>
        <v>0.18265619920570719</v>
      </c>
      <c r="G142" s="563">
        <f t="shared" si="48"/>
        <v>0.21593816699998145</v>
      </c>
      <c r="H142" s="563">
        <f t="shared" si="48"/>
        <v>0.21369485788105635</v>
      </c>
      <c r="I142" s="563">
        <f t="shared" si="48"/>
        <v>0.25073754518587088</v>
      </c>
      <c r="J142" s="563">
        <f t="shared" si="48"/>
        <v>0.2456635156103173</v>
      </c>
      <c r="K142" s="563">
        <f t="shared" si="48"/>
        <v>0.24682388279007675</v>
      </c>
      <c r="L142" s="563">
        <f t="shared" si="48"/>
        <v>0.24623893806039324</v>
      </c>
      <c r="M142" s="563">
        <f t="shared" si="48"/>
        <v>0.24558542753608029</v>
      </c>
      <c r="N142" s="563">
        <f t="shared" si="48"/>
        <v>0.24486258638372715</v>
      </c>
      <c r="O142" s="563">
        <f t="shared" si="48"/>
        <v>0.24406966556267162</v>
      </c>
      <c r="P142" s="563">
        <f t="shared" si="48"/>
        <v>0.24320593465789953</v>
      </c>
      <c r="Q142" s="563">
        <f t="shared" si="48"/>
        <v>0.24227068499373974</v>
      </c>
      <c r="R142" s="563">
        <f t="shared" si="48"/>
        <v>0.24126323303882508</v>
      </c>
      <c r="S142" s="563">
        <f t="shared" si="48"/>
        <v>0.2401829241115595</v>
      </c>
      <c r="T142" s="563">
        <f t="shared" si="48"/>
        <v>0.23902913639382881</v>
      </c>
    </row>
    <row r="143" spans="2:20">
      <c r="B143" s="57" t="s">
        <v>1118</v>
      </c>
      <c r="C143" s="600">
        <f>C6/C140</f>
        <v>0.32418740950826164</v>
      </c>
      <c r="D143" s="600">
        <f t="shared" ref="D143:T143" si="49">D6/D140</f>
        <v>0.32250034152037055</v>
      </c>
      <c r="E143" s="600">
        <f t="shared" si="49"/>
        <v>0.30509788774066499</v>
      </c>
      <c r="F143" s="600">
        <f t="shared" si="49"/>
        <v>0.31093525464125499</v>
      </c>
      <c r="G143" s="600">
        <f t="shared" si="49"/>
        <v>0.36851972154866119</v>
      </c>
      <c r="H143" s="600">
        <f t="shared" si="49"/>
        <v>0.3730191670791273</v>
      </c>
      <c r="I143" s="600">
        <f t="shared" si="49"/>
        <v>0.43869721983634846</v>
      </c>
      <c r="J143" s="600">
        <f t="shared" si="49"/>
        <v>0.43188388951048406</v>
      </c>
      <c r="K143" s="600">
        <f t="shared" si="49"/>
        <v>0.43603929505444966</v>
      </c>
      <c r="L143" s="600">
        <f t="shared" si="49"/>
        <v>0.43715838564916315</v>
      </c>
      <c r="M143" s="600">
        <f t="shared" si="49"/>
        <v>0.43818760020163211</v>
      </c>
      <c r="N143" s="600">
        <f t="shared" si="49"/>
        <v>0.43912416828753575</v>
      </c>
      <c r="O143" s="600">
        <f t="shared" si="49"/>
        <v>0.43996525001312486</v>
      </c>
      <c r="P143" s="600">
        <f t="shared" si="49"/>
        <v>0.44070793820808907</v>
      </c>
      <c r="Q143" s="600">
        <f t="shared" si="49"/>
        <v>0.4413492612315339</v>
      </c>
      <c r="R143" s="600">
        <f t="shared" si="49"/>
        <v>0.44188618644066435</v>
      </c>
      <c r="S143" s="600">
        <f t="shared" si="49"/>
        <v>0.44231562437247673</v>
      </c>
      <c r="T143" s="600">
        <f t="shared" si="49"/>
        <v>0.44263443368901717</v>
      </c>
    </row>
    <row r="144" spans="2:20">
      <c r="B144" s="599" t="s">
        <v>1031</v>
      </c>
      <c r="C144" s="563">
        <f>C79/C140</f>
        <v>0.30902170018902692</v>
      </c>
      <c r="D144" s="563">
        <f t="shared" ref="D144:T144" si="50">D79/D140</f>
        <v>0.33842955315883161</v>
      </c>
      <c r="E144" s="563">
        <f t="shared" si="50"/>
        <v>0.37429076408801215</v>
      </c>
      <c r="F144" s="563">
        <f t="shared" si="50"/>
        <v>0.3789190087781486</v>
      </c>
      <c r="G144" s="563">
        <f t="shared" si="50"/>
        <v>0.31615127512838798</v>
      </c>
      <c r="H144" s="563">
        <f t="shared" si="50"/>
        <v>0.29596964277899618</v>
      </c>
      <c r="I144" s="563">
        <f t="shared" si="50"/>
        <v>0.26464781001780224</v>
      </c>
      <c r="J144" s="563">
        <f t="shared" si="50"/>
        <v>0.26935705825574491</v>
      </c>
      <c r="K144" s="563">
        <f t="shared" si="50"/>
        <v>0.26738688386266574</v>
      </c>
      <c r="L144" s="563">
        <f t="shared" si="50"/>
        <v>0.26437091516551064</v>
      </c>
      <c r="M144" s="563">
        <f t="shared" si="50"/>
        <v>0.2613689969783427</v>
      </c>
      <c r="N144" s="563">
        <f t="shared" si="50"/>
        <v>0.25838001204387123</v>
      </c>
      <c r="O144" s="563">
        <f t="shared" si="50"/>
        <v>0.25540283187247681</v>
      </c>
      <c r="P144" s="563">
        <f t="shared" si="50"/>
        <v>0.25243631902775876</v>
      </c>
      <c r="Q144" s="563">
        <f t="shared" si="50"/>
        <v>0.24947932958099631</v>
      </c>
      <c r="R144" s="563">
        <f t="shared" si="50"/>
        <v>0.24653071574379959</v>
      </c>
      <c r="S144" s="563">
        <f t="shared" si="50"/>
        <v>0.24358932868776109</v>
      </c>
      <c r="T144" s="563">
        <f t="shared" si="50"/>
        <v>0.24065402155928597</v>
      </c>
    </row>
    <row r="145" spans="2:20">
      <c r="B145" s="599" t="s">
        <v>1033</v>
      </c>
      <c r="C145" s="563">
        <f>C85/C140</f>
        <v>0.36679089030271139</v>
      </c>
      <c r="D145" s="563">
        <f t="shared" ref="D145:T145" si="51">D85/D140</f>
        <v>0.3390701053207979</v>
      </c>
      <c r="E145" s="563">
        <f t="shared" si="51"/>
        <v>0.32061134817132286</v>
      </c>
      <c r="F145" s="563">
        <f t="shared" si="51"/>
        <v>0.31014573658059641</v>
      </c>
      <c r="G145" s="563">
        <f t="shared" si="51"/>
        <v>0.31532900332295088</v>
      </c>
      <c r="H145" s="563">
        <f t="shared" si="51"/>
        <v>0.33101119014187663</v>
      </c>
      <c r="I145" s="563">
        <f t="shared" si="51"/>
        <v>0.29665497014584918</v>
      </c>
      <c r="J145" s="563">
        <f t="shared" si="51"/>
        <v>0.29875905223377114</v>
      </c>
      <c r="K145" s="563">
        <f t="shared" si="51"/>
        <v>0.29657382108288471</v>
      </c>
      <c r="L145" s="563">
        <f t="shared" si="51"/>
        <v>0.29847069918532632</v>
      </c>
      <c r="M145" s="563">
        <f t="shared" si="51"/>
        <v>0.30044340282002518</v>
      </c>
      <c r="N145" s="563">
        <f t="shared" si="51"/>
        <v>0.30249581966859296</v>
      </c>
      <c r="O145" s="563">
        <f t="shared" si="51"/>
        <v>0.30463191811439821</v>
      </c>
      <c r="P145" s="563">
        <f t="shared" si="51"/>
        <v>0.30685574276415228</v>
      </c>
      <c r="Q145" s="563">
        <f t="shared" si="51"/>
        <v>0.30917140918746971</v>
      </c>
      <c r="R145" s="563">
        <f t="shared" si="51"/>
        <v>0.31158309781553617</v>
      </c>
      <c r="S145" s="563">
        <f t="shared" si="51"/>
        <v>0.31409504693976215</v>
      </c>
      <c r="T145" s="563">
        <f t="shared" si="51"/>
        <v>0.31671154475169688</v>
      </c>
    </row>
    <row r="146" spans="2:20">
      <c r="B146" s="57" t="s">
        <v>1121</v>
      </c>
      <c r="C146" s="600">
        <f>C56/C140</f>
        <v>0.67581259049173836</v>
      </c>
      <c r="D146" s="600">
        <f t="shared" ref="D146:T146" si="52">D56/D140</f>
        <v>0.67749965847962945</v>
      </c>
      <c r="E146" s="600">
        <f t="shared" si="52"/>
        <v>0.69490211225933507</v>
      </c>
      <c r="F146" s="600">
        <f t="shared" si="52"/>
        <v>0.68906474535874496</v>
      </c>
      <c r="G146" s="600">
        <f t="shared" si="52"/>
        <v>0.63148027845133881</v>
      </c>
      <c r="H146" s="600">
        <f t="shared" si="52"/>
        <v>0.62698083292087281</v>
      </c>
      <c r="I146" s="600">
        <f t="shared" si="52"/>
        <v>0.56130278016365154</v>
      </c>
      <c r="J146" s="600">
        <f t="shared" si="52"/>
        <v>0.56811611048951594</v>
      </c>
      <c r="K146" s="600">
        <f t="shared" si="52"/>
        <v>0.5639607049455504</v>
      </c>
      <c r="L146" s="600">
        <f t="shared" si="52"/>
        <v>0.56284161435083691</v>
      </c>
      <c r="M146" s="600">
        <f t="shared" si="52"/>
        <v>0.56181239979836795</v>
      </c>
      <c r="N146" s="600">
        <f t="shared" si="52"/>
        <v>0.56087583171246425</v>
      </c>
      <c r="O146" s="600">
        <f t="shared" si="52"/>
        <v>0.56003474998687508</v>
      </c>
      <c r="P146" s="600">
        <f t="shared" si="52"/>
        <v>0.55929206179191104</v>
      </c>
      <c r="Q146" s="600">
        <f t="shared" si="52"/>
        <v>0.55865073876846605</v>
      </c>
      <c r="R146" s="600">
        <f t="shared" si="52"/>
        <v>0.55811381355933565</v>
      </c>
      <c r="S146" s="600">
        <f t="shared" si="52"/>
        <v>0.55768437562752327</v>
      </c>
      <c r="T146" s="600">
        <f t="shared" si="52"/>
        <v>0.55736556631098289</v>
      </c>
    </row>
    <row r="148" spans="2:20">
      <c r="B148" s="22" t="s">
        <v>1142</v>
      </c>
      <c r="C148" s="530"/>
    </row>
    <row r="149" spans="2:20">
      <c r="B149" s="57" t="s">
        <v>1137</v>
      </c>
      <c r="C149" s="530">
        <f>C3+C29+C112</f>
        <v>598038716.58006608</v>
      </c>
      <c r="D149" s="530">
        <f t="shared" ref="D149:T149" si="53">D3+D29+D112</f>
        <v>597271124.54085398</v>
      </c>
      <c r="E149" s="530">
        <f t="shared" si="53"/>
        <v>600342356.34689307</v>
      </c>
      <c r="F149" s="530">
        <f t="shared" si="53"/>
        <v>610118515.61348975</v>
      </c>
      <c r="G149" s="530">
        <f t="shared" si="53"/>
        <v>425924926.93818188</v>
      </c>
      <c r="H149" s="530">
        <f t="shared" si="53"/>
        <v>398696265.83267331</v>
      </c>
      <c r="I149" s="530">
        <f t="shared" si="53"/>
        <v>560361991.46258569</v>
      </c>
      <c r="J149" s="530">
        <f t="shared" si="53"/>
        <v>602397448.55745149</v>
      </c>
      <c r="K149" s="530">
        <f t="shared" si="53"/>
        <v>603549777.21030593</v>
      </c>
      <c r="L149" s="530">
        <f t="shared" si="53"/>
        <v>603174313.18788874</v>
      </c>
      <c r="M149" s="530">
        <f t="shared" si="53"/>
        <v>604110364.5876509</v>
      </c>
      <c r="N149" s="530">
        <f t="shared" si="53"/>
        <v>603886174.30126548</v>
      </c>
      <c r="O149" s="530">
        <f t="shared" si="53"/>
        <v>603775326.40792823</v>
      </c>
      <c r="P149" s="530">
        <f t="shared" si="53"/>
        <v>603779169.33575666</v>
      </c>
      <c r="Q149" s="530">
        <f t="shared" si="53"/>
        <v>603899190.18806052</v>
      </c>
      <c r="R149" s="530">
        <f t="shared" si="53"/>
        <v>604137019.41909885</v>
      </c>
      <c r="S149" s="530">
        <f t="shared" si="53"/>
        <v>604494435.81727612</v>
      </c>
      <c r="T149" s="530">
        <f t="shared" si="53"/>
        <v>604973371.81060135</v>
      </c>
    </row>
    <row r="150" spans="2:20">
      <c r="B150" s="599" t="s">
        <v>1034</v>
      </c>
      <c r="C150" s="563">
        <f>C16/C149</f>
        <v>0.25727739590686077</v>
      </c>
      <c r="D150" s="563">
        <f t="shared" ref="D150:T150" si="54">D16/D149</f>
        <v>0.25569178373884488</v>
      </c>
      <c r="E150" s="563">
        <f t="shared" si="54"/>
        <v>0.25651271558244138</v>
      </c>
      <c r="F150" s="563">
        <f t="shared" si="54"/>
        <v>0.25875390887611172</v>
      </c>
      <c r="G150" s="563">
        <f t="shared" si="54"/>
        <v>0.27599011163604709</v>
      </c>
      <c r="H150" s="563">
        <f t="shared" si="54"/>
        <v>0.27795690543830232</v>
      </c>
      <c r="I150" s="563">
        <f t="shared" si="54"/>
        <v>0.2853359386006219</v>
      </c>
      <c r="J150" s="563">
        <f t="shared" si="54"/>
        <v>0.29158480313498147</v>
      </c>
      <c r="K150" s="563">
        <f t="shared" si="54"/>
        <v>0.29261772784632706</v>
      </c>
      <c r="L150" s="563">
        <f t="shared" si="54"/>
        <v>0.29440582233883217</v>
      </c>
      <c r="M150" s="563">
        <f t="shared" si="54"/>
        <v>0.29556820755293883</v>
      </c>
      <c r="N150" s="563">
        <f t="shared" si="54"/>
        <v>0.2973119940926075</v>
      </c>
      <c r="O150" s="563">
        <f t="shared" si="54"/>
        <v>0.29901561946491323</v>
      </c>
      <c r="P150" s="563">
        <f t="shared" si="54"/>
        <v>0.3006772025787548</v>
      </c>
      <c r="Q150" s="563">
        <f t="shared" si="54"/>
        <v>0.30229481511865081</v>
      </c>
      <c r="R150" s="563">
        <f t="shared" si="54"/>
        <v>0.30386648204754008</v>
      </c>
      <c r="S150" s="563">
        <f t="shared" si="54"/>
        <v>0.30539018228201659</v>
      </c>
      <c r="T150" s="563">
        <f t="shared" si="54"/>
        <v>0.30686384955281504</v>
      </c>
    </row>
    <row r="151" spans="2:20">
      <c r="B151" s="599" t="s">
        <v>1035</v>
      </c>
      <c r="C151" s="563">
        <f>C20/C149</f>
        <v>0.37369345855199204</v>
      </c>
      <c r="D151" s="563">
        <f t="shared" ref="D151:T151" si="55">D20/D149</f>
        <v>0.3689843217514675</v>
      </c>
      <c r="E151" s="563">
        <f t="shared" si="55"/>
        <v>0.36787934344362994</v>
      </c>
      <c r="F151" s="563">
        <f t="shared" si="55"/>
        <v>0.36843898923684526</v>
      </c>
      <c r="G151" s="563">
        <f t="shared" si="55"/>
        <v>0.39058979961955009</v>
      </c>
      <c r="H151" s="563">
        <f t="shared" si="55"/>
        <v>0.37281166762099732</v>
      </c>
      <c r="I151" s="563">
        <f t="shared" si="55"/>
        <v>0.38063713895582924</v>
      </c>
      <c r="J151" s="563">
        <f t="shared" si="55"/>
        <v>0.38466117501774399</v>
      </c>
      <c r="K151" s="563">
        <f t="shared" si="55"/>
        <v>0.38170803792307967</v>
      </c>
      <c r="L151" s="563">
        <f t="shared" si="55"/>
        <v>0.37971080456748074</v>
      </c>
      <c r="M151" s="563">
        <f t="shared" si="55"/>
        <v>0.37687656174059392</v>
      </c>
      <c r="N151" s="563">
        <f t="shared" si="55"/>
        <v>0.37475543606181227</v>
      </c>
      <c r="O151" s="563">
        <f t="shared" si="55"/>
        <v>0.37254868426743459</v>
      </c>
      <c r="P151" s="563">
        <f t="shared" si="55"/>
        <v>0.37025690255798155</v>
      </c>
      <c r="Q151" s="563">
        <f t="shared" si="55"/>
        <v>0.36788072987507997</v>
      </c>
      <c r="R151" s="563">
        <f t="shared" si="55"/>
        <v>0.36542084855107843</v>
      </c>
      <c r="S151" s="563">
        <f t="shared" si="55"/>
        <v>0.36287798501071716</v>
      </c>
      <c r="T151" s="563">
        <f t="shared" si="55"/>
        <v>0.36025291052596103</v>
      </c>
    </row>
    <row r="152" spans="2:20">
      <c r="B152" s="57" t="s">
        <v>1118</v>
      </c>
      <c r="C152" s="600">
        <f>C3/C149</f>
        <v>0.63097085445885281</v>
      </c>
      <c r="D152" s="600">
        <f t="shared" ref="D152:T152" si="56">D3/D149</f>
        <v>0.62467610549031238</v>
      </c>
      <c r="E152" s="600">
        <f t="shared" si="56"/>
        <v>0.62439205902607131</v>
      </c>
      <c r="F152" s="600">
        <f t="shared" si="56"/>
        <v>0.62719289811295698</v>
      </c>
      <c r="G152" s="600">
        <f t="shared" si="56"/>
        <v>0.66657991125559723</v>
      </c>
      <c r="H152" s="600">
        <f t="shared" si="56"/>
        <v>0.65076857305929958</v>
      </c>
      <c r="I152" s="600">
        <f t="shared" si="56"/>
        <v>0.66597307755645119</v>
      </c>
      <c r="J152" s="600">
        <f t="shared" si="56"/>
        <v>0.67624597815272536</v>
      </c>
      <c r="K152" s="600">
        <f t="shared" si="56"/>
        <v>0.67432576576940673</v>
      </c>
      <c r="L152" s="600">
        <f t="shared" si="56"/>
        <v>0.6741166269063128</v>
      </c>
      <c r="M152" s="600">
        <f t="shared" si="56"/>
        <v>0.6724447692935327</v>
      </c>
      <c r="N152" s="600">
        <f t="shared" si="56"/>
        <v>0.67206743015441961</v>
      </c>
      <c r="O152" s="600">
        <f t="shared" si="56"/>
        <v>0.67156430373234788</v>
      </c>
      <c r="P152" s="600">
        <f t="shared" si="56"/>
        <v>0.67093410513673624</v>
      </c>
      <c r="Q152" s="600">
        <f t="shared" si="56"/>
        <v>0.67017554499373089</v>
      </c>
      <c r="R152" s="600">
        <f t="shared" si="56"/>
        <v>0.66928733059861845</v>
      </c>
      <c r="S152" s="600">
        <f t="shared" si="56"/>
        <v>0.66826816729273375</v>
      </c>
      <c r="T152" s="600">
        <f t="shared" si="56"/>
        <v>0.66711676007877607</v>
      </c>
    </row>
    <row r="153" spans="2:20">
      <c r="B153" s="599" t="s">
        <v>1031</v>
      </c>
      <c r="C153" s="563">
        <f>C78/C149</f>
        <v>0.10138649402238151</v>
      </c>
      <c r="D153" s="563">
        <f t="shared" ref="D153:T153" si="57">D78/D149</f>
        <v>9.9740164653073712E-2</v>
      </c>
      <c r="E153" s="563">
        <f t="shared" si="57"/>
        <v>0.10047410062037118</v>
      </c>
      <c r="F153" s="563">
        <f t="shared" si="57"/>
        <v>9.7978482020424904E-2</v>
      </c>
      <c r="G153" s="563">
        <f t="shared" si="57"/>
        <v>8.9750060831641665E-2</v>
      </c>
      <c r="H153" s="563">
        <f t="shared" si="57"/>
        <v>9.8185151593149264E-2</v>
      </c>
      <c r="I153" s="563">
        <f t="shared" si="57"/>
        <v>8.7810864732211474E-2</v>
      </c>
      <c r="J153" s="563">
        <f t="shared" si="57"/>
        <v>8.7289079493150804E-2</v>
      </c>
      <c r="K153" s="563">
        <f t="shared" si="57"/>
        <v>8.7122422638688579E-2</v>
      </c>
      <c r="L153" s="563">
        <f t="shared" si="57"/>
        <v>8.685155330865639E-2</v>
      </c>
      <c r="M153" s="563">
        <f t="shared" si="57"/>
        <v>8.6244988055029725E-2</v>
      </c>
      <c r="N153" s="563">
        <f t="shared" si="57"/>
        <v>8.6028169797429041E-2</v>
      </c>
      <c r="O153" s="563">
        <f t="shared" si="57"/>
        <v>8.5866068404746851E-2</v>
      </c>
      <c r="P153" s="563">
        <f t="shared" si="57"/>
        <v>8.5761054136381631E-2</v>
      </c>
      <c r="Q153" s="563">
        <f t="shared" si="57"/>
        <v>8.5715573535748685E-2</v>
      </c>
      <c r="R153" s="563">
        <f t="shared" si="57"/>
        <v>8.573215104753816E-2</v>
      </c>
      <c r="S153" s="563">
        <f t="shared" si="57"/>
        <v>8.5813390490247721E-2</v>
      </c>
      <c r="T153" s="563">
        <f t="shared" si="57"/>
        <v>8.5961976362139383E-2</v>
      </c>
    </row>
    <row r="154" spans="2:20">
      <c r="B154" s="599" t="s">
        <v>1033</v>
      </c>
      <c r="C154" s="563">
        <f>C84/C149</f>
        <v>0.15138094793273815</v>
      </c>
      <c r="D154" s="563">
        <f t="shared" ref="D154:T154" si="58">D84/D149</f>
        <v>0.14939313248269956</v>
      </c>
      <c r="E154" s="563">
        <f t="shared" si="58"/>
        <v>0.14561940716725025</v>
      </c>
      <c r="F154" s="563">
        <f t="shared" si="58"/>
        <v>0.14137913764900323</v>
      </c>
      <c r="G154" s="563">
        <f t="shared" si="58"/>
        <v>0.12727158099304023</v>
      </c>
      <c r="H154" s="563">
        <f t="shared" si="58"/>
        <v>0.13480490573449758</v>
      </c>
      <c r="I154" s="563">
        <f t="shared" si="58"/>
        <v>0.12461965924370605</v>
      </c>
      <c r="J154" s="563">
        <f t="shared" si="58"/>
        <v>0.12086512338616784</v>
      </c>
      <c r="K154" s="563">
        <f t="shared" si="58"/>
        <v>0.12063436140088069</v>
      </c>
      <c r="L154" s="563">
        <f t="shared" si="58"/>
        <v>0.11844516959263916</v>
      </c>
      <c r="M154" s="563">
        <f t="shared" si="58"/>
        <v>0.11826164225510055</v>
      </c>
      <c r="N154" s="563">
        <f t="shared" si="58"/>
        <v>0.1161020441621646</v>
      </c>
      <c r="O154" s="563">
        <f t="shared" si="58"/>
        <v>0.11397601581336704</v>
      </c>
      <c r="P154" s="563">
        <f t="shared" si="58"/>
        <v>0.11188300569000495</v>
      </c>
      <c r="Q154" s="563">
        <f t="shared" si="58"/>
        <v>0.10982245988002648</v>
      </c>
      <c r="R154" s="563">
        <f t="shared" si="58"/>
        <v>0.1077938227281024</v>
      </c>
      <c r="S154" s="563">
        <f t="shared" si="58"/>
        <v>0.10579653747929114</v>
      </c>
      <c r="T154" s="563">
        <f t="shared" si="58"/>
        <v>0.10383004691677988</v>
      </c>
    </row>
    <row r="155" spans="2:20">
      <c r="B155" s="57" t="s">
        <v>1121</v>
      </c>
      <c r="C155" s="655">
        <f>C29/C149</f>
        <v>0.25276744195511969</v>
      </c>
      <c r="D155" s="655">
        <f t="shared" ref="D155:T155" si="59">D29/D149</f>
        <v>0.24913329713577331</v>
      </c>
      <c r="E155" s="655">
        <f t="shared" si="59"/>
        <v>0.24609350778762143</v>
      </c>
      <c r="F155" s="655">
        <f t="shared" si="59"/>
        <v>0.23935761966942812</v>
      </c>
      <c r="G155" s="655">
        <f t="shared" si="59"/>
        <v>0.21702164182468189</v>
      </c>
      <c r="H155" s="655">
        <f t="shared" si="59"/>
        <v>0.23299005732764685</v>
      </c>
      <c r="I155" s="655">
        <f t="shared" si="59"/>
        <v>0.21243052397591755</v>
      </c>
      <c r="J155" s="655">
        <f t="shared" si="59"/>
        <v>0.20815420287931863</v>
      </c>
      <c r="K155" s="655">
        <f t="shared" si="59"/>
        <v>0.20775678403956926</v>
      </c>
      <c r="L155" s="655">
        <f t="shared" si="59"/>
        <v>0.20529672290129558</v>
      </c>
      <c r="M155" s="655">
        <f t="shared" si="59"/>
        <v>0.20450663031013028</v>
      </c>
      <c r="N155" s="655">
        <f t="shared" si="59"/>
        <v>0.20213021395959363</v>
      </c>
      <c r="O155" s="655">
        <f t="shared" si="59"/>
        <v>0.19984208421811389</v>
      </c>
      <c r="P155" s="655">
        <f t="shared" si="59"/>
        <v>0.19764405982638658</v>
      </c>
      <c r="Q155" s="655">
        <f t="shared" si="59"/>
        <v>0.19553803341577516</v>
      </c>
      <c r="R155" s="655">
        <f t="shared" si="59"/>
        <v>0.19352597377564054</v>
      </c>
      <c r="S155" s="655">
        <f t="shared" si="59"/>
        <v>0.19160992796953885</v>
      </c>
      <c r="T155" s="655">
        <f t="shared" si="59"/>
        <v>0.18979202327891925</v>
      </c>
    </row>
    <row r="156" spans="2:20">
      <c r="B156" s="57" t="s">
        <v>1122</v>
      </c>
      <c r="C156" s="655">
        <f>C112/C149</f>
        <v>0.11626170358602758</v>
      </c>
      <c r="D156" s="655">
        <f t="shared" ref="D156:T156" si="60">D112/D149</f>
        <v>0.12619059737391441</v>
      </c>
      <c r="E156" s="655">
        <f t="shared" si="60"/>
        <v>0.12951443318630734</v>
      </c>
      <c r="F156" s="655">
        <f t="shared" si="60"/>
        <v>0.13344948221761491</v>
      </c>
      <c r="G156" s="655">
        <f t="shared" si="60"/>
        <v>0.11639844691972098</v>
      </c>
      <c r="H156" s="655">
        <f t="shared" si="60"/>
        <v>0.11624136961305347</v>
      </c>
      <c r="I156" s="655">
        <f t="shared" si="60"/>
        <v>0.12159639846763134</v>
      </c>
      <c r="J156" s="655">
        <f t="shared" si="60"/>
        <v>0.11559981896795603</v>
      </c>
      <c r="K156" s="655">
        <f t="shared" si="60"/>
        <v>0.11791745019102419</v>
      </c>
      <c r="L156" s="655">
        <f t="shared" si="60"/>
        <v>0.12058665019239159</v>
      </c>
      <c r="M156" s="655">
        <f t="shared" si="60"/>
        <v>0.12304860039633701</v>
      </c>
      <c r="N156" s="655">
        <f t="shared" si="60"/>
        <v>0.12580235588598673</v>
      </c>
      <c r="O156" s="655">
        <f t="shared" si="60"/>
        <v>0.12859361204953826</v>
      </c>
      <c r="P156" s="655">
        <f t="shared" si="60"/>
        <v>0.13142183503687713</v>
      </c>
      <c r="Q156" s="655">
        <f t="shared" si="60"/>
        <v>0.13428642159049387</v>
      </c>
      <c r="R156" s="655">
        <f t="shared" si="60"/>
        <v>0.13718669562574098</v>
      </c>
      <c r="S156" s="655">
        <f t="shared" si="60"/>
        <v>0.14012190473772745</v>
      </c>
      <c r="T156" s="655">
        <f t="shared" si="60"/>
        <v>0.1430912166423047</v>
      </c>
    </row>
    <row r="158" spans="2:20">
      <c r="B158" s="22" t="s">
        <v>1138</v>
      </c>
    </row>
    <row r="159" spans="2:20">
      <c r="B159" s="57" t="s">
        <v>1137</v>
      </c>
      <c r="C159" s="530">
        <f>C3+C29</f>
        <v>528509716.58006608</v>
      </c>
      <c r="D159" s="530">
        <f t="shared" ref="D159:T159" si="61">D3+D29</f>
        <v>521901124.54085404</v>
      </c>
      <c r="E159" s="530">
        <f t="shared" si="61"/>
        <v>522589356.34689313</v>
      </c>
      <c r="F159" s="530">
        <f t="shared" si="61"/>
        <v>528698515.61348975</v>
      </c>
      <c r="G159" s="530">
        <f t="shared" si="61"/>
        <v>376347926.93818188</v>
      </c>
      <c r="H159" s="530">
        <f t="shared" si="61"/>
        <v>352351265.83267331</v>
      </c>
      <c r="I159" s="530">
        <f t="shared" si="61"/>
        <v>492223991.46258569</v>
      </c>
      <c r="J159" s="530">
        <f t="shared" si="61"/>
        <v>532760412.55745149</v>
      </c>
      <c r="K159" s="530">
        <f t="shared" si="61"/>
        <v>532380726.41830599</v>
      </c>
      <c r="L159" s="530">
        <f t="shared" si="61"/>
        <v>530439543.27846473</v>
      </c>
      <c r="M159" s="530">
        <f t="shared" si="61"/>
        <v>529775429.74021959</v>
      </c>
      <c r="N159" s="530">
        <f t="shared" si="61"/>
        <v>527915870.8871907</v>
      </c>
      <c r="O159" s="530">
        <f t="shared" si="61"/>
        <v>526133676.31874382</v>
      </c>
      <c r="P159" s="530">
        <f t="shared" si="61"/>
        <v>524429402.94461012</v>
      </c>
      <c r="Q159" s="530">
        <f t="shared" si="61"/>
        <v>522803728.93630874</v>
      </c>
      <c r="R159" s="530">
        <f t="shared" si="61"/>
        <v>521257458.01980853</v>
      </c>
      <c r="S159" s="530">
        <f t="shared" si="61"/>
        <v>519791524.0672015</v>
      </c>
      <c r="T159" s="530">
        <f t="shared" si="61"/>
        <v>518406996.00202507</v>
      </c>
    </row>
    <row r="160" spans="2:20">
      <c r="B160" s="599" t="s">
        <v>1034</v>
      </c>
      <c r="C160" s="563">
        <f t="shared" ref="C160:T160" si="62">C16/C159</f>
        <v>0.29112396390519607</v>
      </c>
      <c r="D160" s="563">
        <f t="shared" si="62"/>
        <v>0.29261734077294965</v>
      </c>
      <c r="E160" s="563">
        <f t="shared" si="62"/>
        <v>0.29467773546363923</v>
      </c>
      <c r="F160" s="563">
        <f t="shared" si="62"/>
        <v>0.2986022206048603</v>
      </c>
      <c r="G160" s="563">
        <f t="shared" si="62"/>
        <v>0.3123467932734294</v>
      </c>
      <c r="H160" s="563">
        <f t="shared" si="62"/>
        <v>0.31451676496398245</v>
      </c>
      <c r="I160" s="563">
        <f t="shared" si="62"/>
        <v>0.32483466381838078</v>
      </c>
      <c r="J160" s="563">
        <f t="shared" si="62"/>
        <v>0.32969781032238016</v>
      </c>
      <c r="K160" s="563">
        <f t="shared" si="62"/>
        <v>0.33173508296893128</v>
      </c>
      <c r="L160" s="563">
        <f t="shared" si="62"/>
        <v>0.33477524807104658</v>
      </c>
      <c r="M160" s="563">
        <f t="shared" si="62"/>
        <v>0.33704057908627599</v>
      </c>
      <c r="N160" s="563">
        <f t="shared" si="62"/>
        <v>0.34009699762337942</v>
      </c>
      <c r="O160" s="563">
        <f t="shared" si="62"/>
        <v>0.34314141323681896</v>
      </c>
      <c r="P160" s="563">
        <f t="shared" si="62"/>
        <v>0.34617172605475366</v>
      </c>
      <c r="Q160" s="563">
        <f t="shared" si="62"/>
        <v>0.34918571529630915</v>
      </c>
      <c r="R160" s="563">
        <f t="shared" si="62"/>
        <v>0.3521810344219416</v>
      </c>
      <c r="S160" s="563">
        <f t="shared" si="62"/>
        <v>0.35515520626080038</v>
      </c>
      <c r="T160" s="563">
        <f t="shared" si="62"/>
        <v>0.3581056181387306</v>
      </c>
    </row>
    <row r="161" spans="2:20">
      <c r="B161" s="599" t="s">
        <v>1035</v>
      </c>
      <c r="C161" s="563">
        <f t="shared" ref="C161:T161" si="63">C20/C159</f>
        <v>0.42285534084961912</v>
      </c>
      <c r="D161" s="563">
        <f t="shared" si="63"/>
        <v>0.42227094449035202</v>
      </c>
      <c r="E161" s="563">
        <f t="shared" si="63"/>
        <v>0.42261394958012666</v>
      </c>
      <c r="F161" s="563">
        <f t="shared" si="63"/>
        <v>0.42517889225861671</v>
      </c>
      <c r="G161" s="563">
        <f t="shared" si="63"/>
        <v>0.44204290752764591</v>
      </c>
      <c r="H161" s="563">
        <f t="shared" si="63"/>
        <v>0.42184783808873788</v>
      </c>
      <c r="I161" s="563">
        <f t="shared" si="63"/>
        <v>0.4333282995331651</v>
      </c>
      <c r="J161" s="563">
        <f t="shared" si="63"/>
        <v>0.43494018122979872</v>
      </c>
      <c r="K161" s="563">
        <f t="shared" si="63"/>
        <v>0.43273505184491234</v>
      </c>
      <c r="L161" s="563">
        <f t="shared" si="63"/>
        <v>0.43177739415776561</v>
      </c>
      <c r="M161" s="563">
        <f t="shared" si="63"/>
        <v>0.42975763755086399</v>
      </c>
      <c r="N161" s="563">
        <f t="shared" si="63"/>
        <v>0.42868502172826312</v>
      </c>
      <c r="O161" s="563">
        <f t="shared" si="63"/>
        <v>0.42752576687401272</v>
      </c>
      <c r="P161" s="563">
        <f t="shared" si="63"/>
        <v>0.42627931197614377</v>
      </c>
      <c r="Q161" s="563">
        <f t="shared" si="63"/>
        <v>0.42494508466755548</v>
      </c>
      <c r="R161" s="563">
        <f t="shared" si="63"/>
        <v>0.42352250098425853</v>
      </c>
      <c r="S161" s="563">
        <f t="shared" si="63"/>
        <v>0.42201096528692855</v>
      </c>
      <c r="T161" s="563">
        <f t="shared" si="63"/>
        <v>0.42040987036490951</v>
      </c>
    </row>
    <row r="162" spans="2:20">
      <c r="B162" s="57" t="s">
        <v>1118</v>
      </c>
      <c r="C162" s="600">
        <f t="shared" ref="C162:T162" si="64">C3/C159</f>
        <v>0.71397930475481519</v>
      </c>
      <c r="D162" s="600">
        <f t="shared" si="64"/>
        <v>0.71488828526330173</v>
      </c>
      <c r="E162" s="600">
        <f t="shared" si="64"/>
        <v>0.71729168504376584</v>
      </c>
      <c r="F162" s="600">
        <f t="shared" si="64"/>
        <v>0.72378111286347702</v>
      </c>
      <c r="G162" s="600">
        <f t="shared" si="64"/>
        <v>0.75438970080107537</v>
      </c>
      <c r="H162" s="600">
        <f t="shared" si="64"/>
        <v>0.73636460305272022</v>
      </c>
      <c r="I162" s="600">
        <f t="shared" si="64"/>
        <v>0.75816296335154587</v>
      </c>
      <c r="J162" s="600">
        <f t="shared" si="64"/>
        <v>0.76463799155217871</v>
      </c>
      <c r="K162" s="600">
        <f t="shared" si="64"/>
        <v>0.76447013481384363</v>
      </c>
      <c r="L162" s="600">
        <f t="shared" si="64"/>
        <v>0.76655264222881214</v>
      </c>
      <c r="M162" s="600">
        <f t="shared" si="64"/>
        <v>0.76679821663713998</v>
      </c>
      <c r="N162" s="600">
        <f t="shared" si="64"/>
        <v>0.76878201935164248</v>
      </c>
      <c r="O162" s="600">
        <f t="shared" si="64"/>
        <v>0.7706671801108318</v>
      </c>
      <c r="P162" s="600">
        <f t="shared" si="64"/>
        <v>0.77245103803089743</v>
      </c>
      <c r="Q162" s="600">
        <f t="shared" si="64"/>
        <v>0.7741307999638648</v>
      </c>
      <c r="R162" s="600">
        <f t="shared" si="64"/>
        <v>0.77570353540620007</v>
      </c>
      <c r="S162" s="600">
        <f t="shared" si="64"/>
        <v>0.77716617154772882</v>
      </c>
      <c r="T162" s="600">
        <f t="shared" si="64"/>
        <v>0.77851548850364005</v>
      </c>
    </row>
    <row r="163" spans="2:20">
      <c r="B163" s="599" t="s">
        <v>1031</v>
      </c>
      <c r="C163" s="563">
        <f t="shared" ref="C163:T163" si="65">C78/C159</f>
        <v>0.11472456770718999</v>
      </c>
      <c r="D163" s="563">
        <f t="shared" si="65"/>
        <v>0.11414407347108145</v>
      </c>
      <c r="E163" s="563">
        <f t="shared" si="65"/>
        <v>0.11542305174357397</v>
      </c>
      <c r="F163" s="563">
        <f t="shared" si="65"/>
        <v>0.11306724767895185</v>
      </c>
      <c r="G163" s="563">
        <f t="shared" si="65"/>
        <v>0.10157300031758487</v>
      </c>
      <c r="H163" s="563">
        <f t="shared" si="65"/>
        <v>0.11109951090396672</v>
      </c>
      <c r="I163" s="563">
        <f t="shared" si="65"/>
        <v>9.9966421561826557E-2</v>
      </c>
      <c r="J163" s="563">
        <f t="shared" si="65"/>
        <v>9.8698622371706762E-2</v>
      </c>
      <c r="K163" s="563">
        <f t="shared" si="65"/>
        <v>9.8769012784070881E-2</v>
      </c>
      <c r="L163" s="563">
        <f t="shared" si="65"/>
        <v>9.8760785616521671E-2</v>
      </c>
      <c r="M163" s="563">
        <f t="shared" si="65"/>
        <v>9.8346371411241293E-2</v>
      </c>
      <c r="N163" s="563">
        <f t="shared" si="65"/>
        <v>9.8408146460537929E-2</v>
      </c>
      <c r="O163" s="563">
        <f t="shared" si="65"/>
        <v>9.8537341006534149E-2</v>
      </c>
      <c r="P163" s="563">
        <f t="shared" si="65"/>
        <v>9.8737289970929426E-2</v>
      </c>
      <c r="Q163" s="563">
        <f t="shared" si="65"/>
        <v>9.9011469466871282E-2</v>
      </c>
      <c r="R163" s="563">
        <f t="shared" si="65"/>
        <v>9.9363501481602653E-2</v>
      </c>
      <c r="S163" s="563">
        <f t="shared" si="65"/>
        <v>9.9797158414732801E-2</v>
      </c>
      <c r="T163" s="563">
        <f t="shared" si="65"/>
        <v>0.10031636742630597</v>
      </c>
    </row>
    <row r="164" spans="2:20">
      <c r="B164" s="599" t="s">
        <v>1033</v>
      </c>
      <c r="C164" s="563">
        <f t="shared" ref="C164:T164" si="66">C84/C159</f>
        <v>0.17129612753799489</v>
      </c>
      <c r="D164" s="563">
        <f t="shared" si="66"/>
        <v>0.17096764126561684</v>
      </c>
      <c r="E164" s="563">
        <f t="shared" si="66"/>
        <v>0.16728526321266016</v>
      </c>
      <c r="F164" s="563">
        <f t="shared" si="66"/>
        <v>0.16315163945757108</v>
      </c>
      <c r="G164" s="563">
        <f t="shared" si="66"/>
        <v>0.14403729888133984</v>
      </c>
      <c r="H164" s="563">
        <f t="shared" si="66"/>
        <v>0.15253588604331292</v>
      </c>
      <c r="I164" s="563">
        <f t="shared" si="66"/>
        <v>0.14187061508662757</v>
      </c>
      <c r="J164" s="563">
        <f t="shared" si="66"/>
        <v>0.13666338607611456</v>
      </c>
      <c r="K164" s="563">
        <f t="shared" si="66"/>
        <v>0.1367608524020856</v>
      </c>
      <c r="L164" s="563">
        <f t="shared" si="66"/>
        <v>0.13468657215466623</v>
      </c>
      <c r="M164" s="563">
        <f t="shared" si="66"/>
        <v>0.13485541195161868</v>
      </c>
      <c r="N164" s="563">
        <f t="shared" si="66"/>
        <v>0.13280983418781955</v>
      </c>
      <c r="O164" s="563">
        <f t="shared" si="66"/>
        <v>0.13079547888263404</v>
      </c>
      <c r="P164" s="563">
        <f t="shared" si="66"/>
        <v>0.1288116719981732</v>
      </c>
      <c r="Q164" s="563">
        <f t="shared" si="66"/>
        <v>0.12685773056926394</v>
      </c>
      <c r="R164" s="563">
        <f t="shared" si="66"/>
        <v>0.12493296311219734</v>
      </c>
      <c r="S164" s="563">
        <f t="shared" si="66"/>
        <v>0.12303667003753828</v>
      </c>
      <c r="T164" s="563">
        <f t="shared" si="66"/>
        <v>0.12116814407005395</v>
      </c>
    </row>
    <row r="165" spans="2:20">
      <c r="B165" s="57" t="s">
        <v>1121</v>
      </c>
      <c r="C165" s="600">
        <f t="shared" ref="C165:T165" si="67">C29/C159</f>
        <v>0.28602069524518486</v>
      </c>
      <c r="D165" s="600">
        <f t="shared" si="67"/>
        <v>0.28511171473669833</v>
      </c>
      <c r="E165" s="600">
        <f t="shared" si="67"/>
        <v>0.28270831495623411</v>
      </c>
      <c r="F165" s="600">
        <f t="shared" si="67"/>
        <v>0.27621888713652293</v>
      </c>
      <c r="G165" s="600">
        <f t="shared" si="67"/>
        <v>0.24561029919892471</v>
      </c>
      <c r="H165" s="600">
        <f t="shared" si="67"/>
        <v>0.26363539694727967</v>
      </c>
      <c r="I165" s="600">
        <f t="shared" si="67"/>
        <v>0.24183703664845416</v>
      </c>
      <c r="J165" s="600">
        <f t="shared" si="67"/>
        <v>0.23536200844782132</v>
      </c>
      <c r="K165" s="600">
        <f t="shared" si="67"/>
        <v>0.23552986518615648</v>
      </c>
      <c r="L165" s="600">
        <f t="shared" si="67"/>
        <v>0.23344735777118791</v>
      </c>
      <c r="M165" s="600">
        <f t="shared" si="67"/>
        <v>0.23320178336285999</v>
      </c>
      <c r="N165" s="600">
        <f t="shared" si="67"/>
        <v>0.2312179806483575</v>
      </c>
      <c r="O165" s="600">
        <f t="shared" si="67"/>
        <v>0.2293328198891682</v>
      </c>
      <c r="P165" s="600">
        <f t="shared" si="67"/>
        <v>0.22754896196910263</v>
      </c>
      <c r="Q165" s="600">
        <f t="shared" si="67"/>
        <v>0.22586920003613523</v>
      </c>
      <c r="R165" s="600">
        <f t="shared" si="67"/>
        <v>0.22429646459379998</v>
      </c>
      <c r="S165" s="600">
        <f t="shared" si="67"/>
        <v>0.22283382845227107</v>
      </c>
      <c r="T165" s="600">
        <f t="shared" si="67"/>
        <v>0.22148451149635989</v>
      </c>
    </row>
    <row r="167" spans="2:20">
      <c r="B167" s="22" t="s">
        <v>1147</v>
      </c>
      <c r="C167" s="530"/>
    </row>
    <row r="168" spans="2:20">
      <c r="B168" s="57" t="s">
        <v>1149</v>
      </c>
      <c r="C168" s="530">
        <f>'B_02 Benefity varianty'!F39*'B_02 Benefity varianty'!F42</f>
        <v>6371430</v>
      </c>
      <c r="D168" s="530">
        <f t="shared" ref="D168:T168" si="68">C168</f>
        <v>6371430</v>
      </c>
      <c r="E168" s="530">
        <f t="shared" si="68"/>
        <v>6371430</v>
      </c>
      <c r="F168" s="530">
        <f t="shared" si="68"/>
        <v>6371430</v>
      </c>
      <c r="G168" s="530">
        <f t="shared" si="68"/>
        <v>6371430</v>
      </c>
      <c r="H168" s="530">
        <f t="shared" si="68"/>
        <v>6371430</v>
      </c>
      <c r="I168" s="530">
        <f t="shared" si="68"/>
        <v>6371430</v>
      </c>
      <c r="J168" s="530">
        <f t="shared" si="68"/>
        <v>6371430</v>
      </c>
      <c r="K168" s="530">
        <f t="shared" si="68"/>
        <v>6371430</v>
      </c>
      <c r="L168" s="530">
        <f t="shared" si="68"/>
        <v>6371430</v>
      </c>
      <c r="M168" s="530">
        <f t="shared" si="68"/>
        <v>6371430</v>
      </c>
      <c r="N168" s="530">
        <f t="shared" si="68"/>
        <v>6371430</v>
      </c>
      <c r="O168" s="530">
        <f t="shared" si="68"/>
        <v>6371430</v>
      </c>
      <c r="P168" s="530">
        <f t="shared" si="68"/>
        <v>6371430</v>
      </c>
      <c r="Q168" s="530">
        <f t="shared" si="68"/>
        <v>6371430</v>
      </c>
      <c r="R168" s="530">
        <f t="shared" si="68"/>
        <v>6371430</v>
      </c>
      <c r="S168" s="530">
        <f t="shared" si="68"/>
        <v>6371430</v>
      </c>
      <c r="T168" s="530">
        <f t="shared" si="68"/>
        <v>6371430</v>
      </c>
    </row>
    <row r="169" spans="2:20">
      <c r="B169" s="599" t="s">
        <v>1034</v>
      </c>
      <c r="C169" s="530">
        <f t="shared" ref="C169:T169" si="69">$C$168*C150</f>
        <v>1639224.9186028498</v>
      </c>
      <c r="D169" s="530">
        <f t="shared" si="69"/>
        <v>1629122.3016671885</v>
      </c>
      <c r="E169" s="530">
        <f t="shared" si="69"/>
        <v>1634352.8114434346</v>
      </c>
      <c r="F169" s="530">
        <f t="shared" si="69"/>
        <v>1648632.4176305244</v>
      </c>
      <c r="G169" s="530">
        <f t="shared" si="69"/>
        <v>1758451.6769812596</v>
      </c>
      <c r="H169" s="530">
        <f t="shared" si="69"/>
        <v>1770982.9660167624</v>
      </c>
      <c r="I169" s="530">
        <f t="shared" si="69"/>
        <v>1817997.9592781605</v>
      </c>
      <c r="J169" s="530">
        <f t="shared" si="69"/>
        <v>1857812.162238315</v>
      </c>
      <c r="K169" s="530">
        <f t="shared" si="69"/>
        <v>1864393.3697319236</v>
      </c>
      <c r="L169" s="530">
        <f t="shared" si="69"/>
        <v>1875786.0886243056</v>
      </c>
      <c r="M169" s="530">
        <f t="shared" si="69"/>
        <v>1883192.1446490211</v>
      </c>
      <c r="N169" s="530">
        <f t="shared" si="69"/>
        <v>1894302.5585214621</v>
      </c>
      <c r="O169" s="530">
        <f t="shared" si="69"/>
        <v>1905157.0883273322</v>
      </c>
      <c r="P169" s="530">
        <f t="shared" si="69"/>
        <v>1915743.7488263557</v>
      </c>
      <c r="Q169" s="530">
        <f t="shared" si="69"/>
        <v>1926050.2538914252</v>
      </c>
      <c r="R169" s="530">
        <f t="shared" si="69"/>
        <v>1936064.0197121582</v>
      </c>
      <c r="S169" s="530">
        <f t="shared" si="69"/>
        <v>1945772.169097109</v>
      </c>
      <c r="T169" s="530">
        <f t="shared" si="69"/>
        <v>1955161.5369562923</v>
      </c>
    </row>
    <row r="170" spans="2:20">
      <c r="B170" s="599" t="s">
        <v>1035</v>
      </c>
      <c r="C170" s="530">
        <f t="shared" ref="C170:T170" si="70">$C$168*C151</f>
        <v>2380961.7126219189</v>
      </c>
      <c r="D170" s="530">
        <f t="shared" si="70"/>
        <v>2350957.7771369526</v>
      </c>
      <c r="E170" s="530">
        <f t="shared" si="70"/>
        <v>2343917.4851970472</v>
      </c>
      <c r="F170" s="530">
        <f t="shared" si="70"/>
        <v>2347483.229193313</v>
      </c>
      <c r="G170" s="530">
        <f t="shared" si="70"/>
        <v>2488615.56698999</v>
      </c>
      <c r="H170" s="530">
        <f t="shared" si="70"/>
        <v>2375343.4434304507</v>
      </c>
      <c r="I170" s="530">
        <f t="shared" si="70"/>
        <v>2425202.8862573393</v>
      </c>
      <c r="J170" s="530">
        <f t="shared" si="70"/>
        <v>2450841.7503433046</v>
      </c>
      <c r="K170" s="530">
        <f t="shared" si="70"/>
        <v>2432026.0440642475</v>
      </c>
      <c r="L170" s="530">
        <f t="shared" si="70"/>
        <v>2419300.8115453837</v>
      </c>
      <c r="M170" s="530">
        <f t="shared" si="70"/>
        <v>2401242.6317708725</v>
      </c>
      <c r="N170" s="530">
        <f t="shared" si="70"/>
        <v>2387728.0279873125</v>
      </c>
      <c r="O170" s="530">
        <f t="shared" si="70"/>
        <v>2373667.8634020607</v>
      </c>
      <c r="P170" s="530">
        <f t="shared" si="70"/>
        <v>2359065.9366650004</v>
      </c>
      <c r="Q170" s="530">
        <f t="shared" si="70"/>
        <v>2343926.318747981</v>
      </c>
      <c r="R170" s="530">
        <f t="shared" si="70"/>
        <v>2328253.3570837975</v>
      </c>
      <c r="S170" s="530">
        <f t="shared" si="70"/>
        <v>2312051.6800368335</v>
      </c>
      <c r="T170" s="530">
        <f t="shared" si="70"/>
        <v>2295326.2017124239</v>
      </c>
    </row>
    <row r="171" spans="2:20" s="57" customFormat="1">
      <c r="B171" s="57" t="s">
        <v>1118</v>
      </c>
      <c r="C171" s="669">
        <f t="shared" ref="C171:T171" si="71">$C$168*C152</f>
        <v>4020186.6312247687</v>
      </c>
      <c r="D171" s="669">
        <f t="shared" si="71"/>
        <v>3980080.0788041409</v>
      </c>
      <c r="E171" s="669">
        <f t="shared" si="71"/>
        <v>3978270.2966404813</v>
      </c>
      <c r="F171" s="669">
        <f t="shared" si="71"/>
        <v>3996115.6468238374</v>
      </c>
      <c r="G171" s="669">
        <f t="shared" si="71"/>
        <v>4247067.24397125</v>
      </c>
      <c r="H171" s="669">
        <f t="shared" si="71"/>
        <v>4146326.4094472132</v>
      </c>
      <c r="I171" s="669">
        <f t="shared" si="71"/>
        <v>4243200.8455355</v>
      </c>
      <c r="J171" s="669">
        <f t="shared" si="71"/>
        <v>4308653.9125816189</v>
      </c>
      <c r="K171" s="669">
        <f t="shared" si="71"/>
        <v>4296419.4137961715</v>
      </c>
      <c r="L171" s="669">
        <f t="shared" si="71"/>
        <v>4295086.9001696883</v>
      </c>
      <c r="M171" s="669">
        <f t="shared" si="71"/>
        <v>4284434.7764198929</v>
      </c>
      <c r="N171" s="669">
        <f t="shared" si="71"/>
        <v>4282030.5865087733</v>
      </c>
      <c r="O171" s="669">
        <f t="shared" si="71"/>
        <v>4278824.9517293936</v>
      </c>
      <c r="P171" s="669">
        <f t="shared" si="71"/>
        <v>4274809.6854913551</v>
      </c>
      <c r="Q171" s="669">
        <f t="shared" si="71"/>
        <v>4269976.5726394067</v>
      </c>
      <c r="R171" s="669">
        <f t="shared" si="71"/>
        <v>4264317.3767959559</v>
      </c>
      <c r="S171" s="669">
        <f t="shared" si="71"/>
        <v>4257823.8491339423</v>
      </c>
      <c r="T171" s="669">
        <f t="shared" si="71"/>
        <v>4250487.7386687165</v>
      </c>
    </row>
    <row r="172" spans="2:20">
      <c r="B172" s="599" t="s">
        <v>1031</v>
      </c>
      <c r="C172" s="530">
        <f t="shared" ref="C172:T172" si="72">$C$168*C153</f>
        <v>645976.94960902224</v>
      </c>
      <c r="D172" s="530">
        <f t="shared" si="72"/>
        <v>635487.47727553349</v>
      </c>
      <c r="E172" s="530">
        <f t="shared" si="72"/>
        <v>640163.69891565153</v>
      </c>
      <c r="F172" s="530">
        <f t="shared" si="72"/>
        <v>624263.03969939589</v>
      </c>
      <c r="G172" s="530">
        <f t="shared" si="72"/>
        <v>571836.23008454661</v>
      </c>
      <c r="H172" s="530">
        <f t="shared" si="72"/>
        <v>625579.82041513897</v>
      </c>
      <c r="I172" s="530">
        <f t="shared" si="72"/>
        <v>559480.77788075421</v>
      </c>
      <c r="J172" s="530">
        <f t="shared" si="72"/>
        <v>556156.25975504587</v>
      </c>
      <c r="K172" s="530">
        <f t="shared" si="72"/>
        <v>555094.41727281956</v>
      </c>
      <c r="L172" s="530">
        <f t="shared" si="72"/>
        <v>553368.59229737264</v>
      </c>
      <c r="M172" s="530">
        <f t="shared" si="72"/>
        <v>549503.90424345806</v>
      </c>
      <c r="N172" s="530">
        <f t="shared" si="72"/>
        <v>548122.46189243335</v>
      </c>
      <c r="O172" s="530">
        <f t="shared" si="72"/>
        <v>547089.64421605621</v>
      </c>
      <c r="P172" s="530">
        <f t="shared" si="72"/>
        <v>546420.55315616599</v>
      </c>
      <c r="Q172" s="530">
        <f t="shared" si="72"/>
        <v>546130.7766928752</v>
      </c>
      <c r="R172" s="530">
        <f t="shared" si="72"/>
        <v>546236.39914881601</v>
      </c>
      <c r="S172" s="530">
        <f t="shared" si="72"/>
        <v>546754.01057127898</v>
      </c>
      <c r="T172" s="530">
        <f t="shared" si="72"/>
        <v>547700.71505302575</v>
      </c>
    </row>
    <row r="173" spans="2:20">
      <c r="B173" s="599" t="s">
        <v>1033</v>
      </c>
      <c r="C173" s="530">
        <f t="shared" ref="C173:T173" si="73">$C$168*C154</f>
        <v>964513.11308708589</v>
      </c>
      <c r="D173" s="530">
        <f t="shared" si="73"/>
        <v>951847.88609424641</v>
      </c>
      <c r="E173" s="530">
        <f t="shared" si="73"/>
        <v>927803.85940763319</v>
      </c>
      <c r="F173" s="530">
        <f t="shared" si="73"/>
        <v>900787.27899098862</v>
      </c>
      <c r="G173" s="530">
        <f t="shared" si="73"/>
        <v>810901.96928648627</v>
      </c>
      <c r="H173" s="530">
        <f t="shared" si="73"/>
        <v>858900.02054394991</v>
      </c>
      <c r="I173" s="530">
        <f t="shared" si="73"/>
        <v>794005.43549512606</v>
      </c>
      <c r="J173" s="530">
        <f t="shared" si="73"/>
        <v>770083.6730963313</v>
      </c>
      <c r="K173" s="530">
        <f t="shared" si="73"/>
        <v>768613.38926041324</v>
      </c>
      <c r="L173" s="530">
        <f t="shared" si="73"/>
        <v>754665.10689762898</v>
      </c>
      <c r="M173" s="530">
        <f t="shared" si="73"/>
        <v>753495.77531341533</v>
      </c>
      <c r="N173" s="530">
        <f t="shared" si="73"/>
        <v>739736.04723614047</v>
      </c>
      <c r="O173" s="530">
        <f t="shared" si="73"/>
        <v>726190.20643376117</v>
      </c>
      <c r="P173" s="530">
        <f t="shared" si="73"/>
        <v>712854.7389434682</v>
      </c>
      <c r="Q173" s="530">
        <f t="shared" si="73"/>
        <v>699726.1155533971</v>
      </c>
      <c r="R173" s="530">
        <f t="shared" si="73"/>
        <v>686800.7959445134</v>
      </c>
      <c r="S173" s="530">
        <f t="shared" si="73"/>
        <v>674075.23279168003</v>
      </c>
      <c r="T173" s="530">
        <f t="shared" si="73"/>
        <v>661545.87582697882</v>
      </c>
    </row>
    <row r="174" spans="2:20" s="57" customFormat="1">
      <c r="B174" s="57" t="s">
        <v>1121</v>
      </c>
      <c r="C174" s="669">
        <f t="shared" ref="C174:T174" si="74">$C$168*C155</f>
        <v>1610490.0626961081</v>
      </c>
      <c r="D174" s="669">
        <f t="shared" si="74"/>
        <v>1587335.3633697801</v>
      </c>
      <c r="E174" s="669">
        <f t="shared" si="74"/>
        <v>1567967.5583232848</v>
      </c>
      <c r="F174" s="669">
        <f t="shared" si="74"/>
        <v>1525050.3186903845</v>
      </c>
      <c r="G174" s="669">
        <f t="shared" si="74"/>
        <v>1382738.1993710329</v>
      </c>
      <c r="H174" s="669">
        <f t="shared" si="74"/>
        <v>1484479.8409590891</v>
      </c>
      <c r="I174" s="669">
        <f t="shared" si="74"/>
        <v>1353486.2133758804</v>
      </c>
      <c r="J174" s="669">
        <f t="shared" si="74"/>
        <v>1326239.9328513772</v>
      </c>
      <c r="K174" s="669">
        <f t="shared" si="74"/>
        <v>1323707.8065332328</v>
      </c>
      <c r="L174" s="669">
        <f t="shared" si="74"/>
        <v>1308033.6991950017</v>
      </c>
      <c r="M174" s="669">
        <f t="shared" si="74"/>
        <v>1302999.6795568734</v>
      </c>
      <c r="N174" s="669">
        <f t="shared" si="74"/>
        <v>1287858.5091285736</v>
      </c>
      <c r="O174" s="669">
        <f t="shared" si="74"/>
        <v>1273279.8506498174</v>
      </c>
      <c r="P174" s="669">
        <f t="shared" si="74"/>
        <v>1259275.2920996342</v>
      </c>
      <c r="Q174" s="669">
        <f t="shared" si="74"/>
        <v>1245856.8922462724</v>
      </c>
      <c r="R174" s="669">
        <f t="shared" si="74"/>
        <v>1233037.1950933295</v>
      </c>
      <c r="S174" s="669">
        <f t="shared" si="74"/>
        <v>1220829.243362959</v>
      </c>
      <c r="T174" s="669">
        <f t="shared" si="74"/>
        <v>1209246.5908800045</v>
      </c>
    </row>
    <row r="175" spans="2:20" s="57" customFormat="1">
      <c r="B175" s="57" t="s">
        <v>1122</v>
      </c>
      <c r="C175" s="669">
        <f t="shared" ref="C175:T175" si="75">$C$168*C156</f>
        <v>740753.30607912375</v>
      </c>
      <c r="D175" s="669">
        <f t="shared" si="75"/>
        <v>804014.55782607954</v>
      </c>
      <c r="E175" s="669">
        <f t="shared" si="75"/>
        <v>825192.14503623417</v>
      </c>
      <c r="F175" s="669">
        <f t="shared" si="75"/>
        <v>850264.03448577819</v>
      </c>
      <c r="G175" s="669">
        <f t="shared" si="75"/>
        <v>741624.55665771791</v>
      </c>
      <c r="H175" s="669">
        <f t="shared" si="75"/>
        <v>740623.74959369726</v>
      </c>
      <c r="I175" s="669">
        <f t="shared" si="75"/>
        <v>774742.94108862034</v>
      </c>
      <c r="J175" s="669">
        <f t="shared" si="75"/>
        <v>736536.15456700407</v>
      </c>
      <c r="K175" s="669">
        <f t="shared" si="75"/>
        <v>751302.77967059729</v>
      </c>
      <c r="L175" s="669">
        <f t="shared" si="75"/>
        <v>768309.40063530952</v>
      </c>
      <c r="M175" s="669">
        <f t="shared" si="75"/>
        <v>783995.54402323358</v>
      </c>
      <c r="N175" s="669">
        <f t="shared" si="75"/>
        <v>801540.90436265245</v>
      </c>
      <c r="O175" s="669">
        <f t="shared" si="75"/>
        <v>819325.19762078952</v>
      </c>
      <c r="P175" s="669">
        <f t="shared" si="75"/>
        <v>837345.02240900998</v>
      </c>
      <c r="Q175" s="669">
        <f t="shared" si="75"/>
        <v>855596.53511432034</v>
      </c>
      <c r="R175" s="669">
        <f t="shared" si="75"/>
        <v>874075.42811071489</v>
      </c>
      <c r="S175" s="669">
        <f t="shared" si="75"/>
        <v>892776.90750309883</v>
      </c>
      <c r="T175" s="669">
        <f t="shared" si="75"/>
        <v>911695.6704512795</v>
      </c>
    </row>
    <row r="177" spans="2:20">
      <c r="B177" s="22" t="s">
        <v>1148</v>
      </c>
    </row>
    <row r="178" spans="2:20" s="57" customFormat="1">
      <c r="B178" s="57" t="s">
        <v>1149</v>
      </c>
      <c r="C178" s="669">
        <f t="shared" ref="C178:T178" si="76">C168</f>
        <v>6371430</v>
      </c>
      <c r="D178" s="669">
        <f t="shared" si="76"/>
        <v>6371430</v>
      </c>
      <c r="E178" s="669">
        <f t="shared" si="76"/>
        <v>6371430</v>
      </c>
      <c r="F178" s="669">
        <f t="shared" si="76"/>
        <v>6371430</v>
      </c>
      <c r="G178" s="669">
        <f t="shared" si="76"/>
        <v>6371430</v>
      </c>
      <c r="H178" s="669">
        <f t="shared" si="76"/>
        <v>6371430</v>
      </c>
      <c r="I178" s="669">
        <f t="shared" si="76"/>
        <v>6371430</v>
      </c>
      <c r="J178" s="669">
        <f t="shared" si="76"/>
        <v>6371430</v>
      </c>
      <c r="K178" s="669">
        <f t="shared" si="76"/>
        <v>6371430</v>
      </c>
      <c r="L178" s="669">
        <f t="shared" si="76"/>
        <v>6371430</v>
      </c>
      <c r="M178" s="669">
        <f t="shared" si="76"/>
        <v>6371430</v>
      </c>
      <c r="N178" s="669">
        <f t="shared" si="76"/>
        <v>6371430</v>
      </c>
      <c r="O178" s="669">
        <f t="shared" si="76"/>
        <v>6371430</v>
      </c>
      <c r="P178" s="669">
        <f t="shared" si="76"/>
        <v>6371430</v>
      </c>
      <c r="Q178" s="669">
        <f t="shared" si="76"/>
        <v>6371430</v>
      </c>
      <c r="R178" s="669">
        <f t="shared" si="76"/>
        <v>6371430</v>
      </c>
      <c r="S178" s="669">
        <f t="shared" si="76"/>
        <v>6371430</v>
      </c>
      <c r="T178" s="669">
        <f t="shared" si="76"/>
        <v>6371430</v>
      </c>
    </row>
    <row r="179" spans="2:20">
      <c r="B179" s="599" t="s">
        <v>1034</v>
      </c>
      <c r="C179" s="530">
        <f t="shared" ref="C179:T179" si="77">$C$178*C160</f>
        <v>1854875.9573444834</v>
      </c>
      <c r="D179" s="530">
        <f t="shared" si="77"/>
        <v>1864390.9035209946</v>
      </c>
      <c r="E179" s="530">
        <f t="shared" si="77"/>
        <v>1877518.564065095</v>
      </c>
      <c r="F179" s="530">
        <f t="shared" si="77"/>
        <v>1902523.1464284251</v>
      </c>
      <c r="G179" s="530">
        <f t="shared" si="77"/>
        <v>1990095.7290661263</v>
      </c>
      <c r="H179" s="530">
        <f t="shared" si="77"/>
        <v>2003921.5517944668</v>
      </c>
      <c r="I179" s="530">
        <f t="shared" si="77"/>
        <v>2069661.3220923459</v>
      </c>
      <c r="J179" s="530">
        <f t="shared" si="77"/>
        <v>2100646.5196223226</v>
      </c>
      <c r="K179" s="530">
        <f t="shared" si="77"/>
        <v>2113626.8596807378</v>
      </c>
      <c r="L179" s="530">
        <f t="shared" si="77"/>
        <v>2132997.0588173084</v>
      </c>
      <c r="M179" s="530">
        <f t="shared" si="77"/>
        <v>2147430.4568076716</v>
      </c>
      <c r="N179" s="530">
        <f t="shared" si="77"/>
        <v>2166904.2135675284</v>
      </c>
      <c r="O179" s="530">
        <f t="shared" si="77"/>
        <v>2186301.4945394653</v>
      </c>
      <c r="P179" s="530">
        <f t="shared" si="77"/>
        <v>2205608.9205370392</v>
      </c>
      <c r="Q179" s="530">
        <f t="shared" si="77"/>
        <v>2224812.342010363</v>
      </c>
      <c r="R179" s="530">
        <f t="shared" si="77"/>
        <v>2243896.8081469913</v>
      </c>
      <c r="S179" s="530">
        <f t="shared" si="77"/>
        <v>2262846.5358262514</v>
      </c>
      <c r="T179" s="530">
        <f t="shared" si="77"/>
        <v>2281644.8785776524</v>
      </c>
    </row>
    <row r="180" spans="2:20">
      <c r="B180" s="599" t="s">
        <v>1035</v>
      </c>
      <c r="C180" s="530">
        <f t="shared" ref="C180:T180" si="78">$C$178*C161</f>
        <v>2694193.204349489</v>
      </c>
      <c r="D180" s="530">
        <f t="shared" si="78"/>
        <v>2690469.7638541637</v>
      </c>
      <c r="E180" s="530">
        <f t="shared" si="78"/>
        <v>2692655.1967733065</v>
      </c>
      <c r="F180" s="530">
        <f t="shared" si="78"/>
        <v>2708997.5495033185</v>
      </c>
      <c r="G180" s="530">
        <f t="shared" si="78"/>
        <v>2816445.4423088692</v>
      </c>
      <c r="H180" s="530">
        <f t="shared" si="78"/>
        <v>2687773.9710337273</v>
      </c>
      <c r="I180" s="530">
        <f t="shared" si="78"/>
        <v>2760920.9274945939</v>
      </c>
      <c r="J180" s="530">
        <f t="shared" si="78"/>
        <v>2771190.9188929764</v>
      </c>
      <c r="K180" s="530">
        <f t="shared" si="78"/>
        <v>2757141.0913762297</v>
      </c>
      <c r="L180" s="530">
        <f t="shared" si="78"/>
        <v>2751039.4424586124</v>
      </c>
      <c r="M180" s="530">
        <f t="shared" si="78"/>
        <v>2738170.7046207013</v>
      </c>
      <c r="N180" s="530">
        <f t="shared" si="78"/>
        <v>2731336.6079901075</v>
      </c>
      <c r="O180" s="530">
        <f t="shared" si="78"/>
        <v>2723950.4968340909</v>
      </c>
      <c r="P180" s="530">
        <f t="shared" si="78"/>
        <v>2716008.7967041619</v>
      </c>
      <c r="Q180" s="530">
        <f t="shared" si="78"/>
        <v>2707507.860803403</v>
      </c>
      <c r="R180" s="530">
        <f t="shared" si="78"/>
        <v>2698443.9684461341</v>
      </c>
      <c r="S180" s="530">
        <f t="shared" si="78"/>
        <v>2688813.3245580951</v>
      </c>
      <c r="T180" s="530">
        <f t="shared" si="78"/>
        <v>2678612.0603390955</v>
      </c>
    </row>
    <row r="181" spans="2:20" s="57" customFormat="1">
      <c r="B181" s="57" t="s">
        <v>1118</v>
      </c>
      <c r="C181" s="669">
        <f t="shared" ref="C181:T181" si="79">$C$178*C162</f>
        <v>4549069.1616939725</v>
      </c>
      <c r="D181" s="669">
        <f t="shared" si="79"/>
        <v>4554860.6673751585</v>
      </c>
      <c r="E181" s="669">
        <f t="shared" si="79"/>
        <v>4570173.7608384006</v>
      </c>
      <c r="F181" s="669">
        <f t="shared" si="79"/>
        <v>4611520.6959317438</v>
      </c>
      <c r="G181" s="669">
        <f t="shared" si="79"/>
        <v>4806541.1713749953</v>
      </c>
      <c r="H181" s="669">
        <f t="shared" si="79"/>
        <v>4691695.5228281934</v>
      </c>
      <c r="I181" s="669">
        <f t="shared" si="79"/>
        <v>4830582.2495869398</v>
      </c>
      <c r="J181" s="669">
        <f t="shared" si="79"/>
        <v>4871837.4385152981</v>
      </c>
      <c r="K181" s="669">
        <f t="shared" si="79"/>
        <v>4870767.9510569675</v>
      </c>
      <c r="L181" s="669">
        <f t="shared" si="79"/>
        <v>4884036.5012759203</v>
      </c>
      <c r="M181" s="669">
        <f t="shared" si="79"/>
        <v>4885601.1614283724</v>
      </c>
      <c r="N181" s="669">
        <f t="shared" si="79"/>
        <v>4898240.8215576354</v>
      </c>
      <c r="O181" s="669">
        <f t="shared" si="79"/>
        <v>4910251.9913735567</v>
      </c>
      <c r="P181" s="669">
        <f t="shared" si="79"/>
        <v>4921617.7172412006</v>
      </c>
      <c r="Q181" s="669">
        <f t="shared" si="79"/>
        <v>4932320.2028137669</v>
      </c>
      <c r="R181" s="669">
        <f t="shared" si="79"/>
        <v>4942340.7765931254</v>
      </c>
      <c r="S181" s="669">
        <f t="shared" si="79"/>
        <v>4951659.860384346</v>
      </c>
      <c r="T181" s="669">
        <f t="shared" si="79"/>
        <v>4960256.9389167475</v>
      </c>
    </row>
    <row r="182" spans="2:20">
      <c r="B182" s="599" t="s">
        <v>1031</v>
      </c>
      <c r="C182" s="530">
        <f t="shared" ref="C182:T182" si="80">$C$178*C163</f>
        <v>730959.55242662155</v>
      </c>
      <c r="D182" s="530">
        <f t="shared" si="80"/>
        <v>727260.97403585247</v>
      </c>
      <c r="E182" s="530">
        <f t="shared" si="80"/>
        <v>735409.8945705595</v>
      </c>
      <c r="F182" s="530">
        <f t="shared" si="80"/>
        <v>720400.05387910421</v>
      </c>
      <c r="G182" s="530">
        <f t="shared" si="80"/>
        <v>647165.26141346979</v>
      </c>
      <c r="H182" s="530">
        <f t="shared" si="80"/>
        <v>707862.75675886066</v>
      </c>
      <c r="I182" s="530">
        <f t="shared" si="80"/>
        <v>636929.05733166856</v>
      </c>
      <c r="J182" s="530">
        <f t="shared" si="80"/>
        <v>628851.36353776359</v>
      </c>
      <c r="K182" s="530">
        <f t="shared" si="80"/>
        <v>629299.85112281272</v>
      </c>
      <c r="L182" s="530">
        <f t="shared" si="80"/>
        <v>629247.43230067461</v>
      </c>
      <c r="M182" s="530">
        <f t="shared" si="80"/>
        <v>626607.02120072511</v>
      </c>
      <c r="N182" s="530">
        <f t="shared" si="80"/>
        <v>627000.61660306517</v>
      </c>
      <c r="O182" s="530">
        <f t="shared" si="80"/>
        <v>627823.77060926182</v>
      </c>
      <c r="P182" s="530">
        <f t="shared" si="80"/>
        <v>629097.73143947893</v>
      </c>
      <c r="Q182" s="530">
        <f t="shared" si="80"/>
        <v>630844.64690530766</v>
      </c>
      <c r="R182" s="530">
        <f t="shared" si="80"/>
        <v>633087.59424492763</v>
      </c>
      <c r="S182" s="530">
        <f t="shared" si="80"/>
        <v>635850.60903838102</v>
      </c>
      <c r="T182" s="530">
        <f t="shared" si="80"/>
        <v>639158.7129109886</v>
      </c>
    </row>
    <row r="183" spans="2:20">
      <c r="B183" s="599" t="s">
        <v>1033</v>
      </c>
      <c r="C183" s="530">
        <f t="shared" ref="C183:T183" si="81">$C$178*C164</f>
        <v>1091401.2858794068</v>
      </c>
      <c r="D183" s="530">
        <f t="shared" si="81"/>
        <v>1089308.3585889891</v>
      </c>
      <c r="E183" s="530">
        <f t="shared" si="81"/>
        <v>1065846.3445910392</v>
      </c>
      <c r="F183" s="530">
        <f t="shared" si="81"/>
        <v>1039509.2501891521</v>
      </c>
      <c r="G183" s="530">
        <f t="shared" si="81"/>
        <v>917723.56721153506</v>
      </c>
      <c r="H183" s="530">
        <f t="shared" si="81"/>
        <v>971871.72041294526</v>
      </c>
      <c r="I183" s="530">
        <f t="shared" si="81"/>
        <v>903918.69308139151</v>
      </c>
      <c r="J183" s="530">
        <f t="shared" si="81"/>
        <v>870741.19794693857</v>
      </c>
      <c r="K183" s="530">
        <f t="shared" si="81"/>
        <v>871362.19782022026</v>
      </c>
      <c r="L183" s="530">
        <f t="shared" si="81"/>
        <v>858146.06642340508</v>
      </c>
      <c r="M183" s="530">
        <f t="shared" si="81"/>
        <v>859221.81737090182</v>
      </c>
      <c r="N183" s="530">
        <f t="shared" si="81"/>
        <v>846188.56183929916</v>
      </c>
      <c r="O183" s="530">
        <f t="shared" si="81"/>
        <v>833354.23801718105</v>
      </c>
      <c r="P183" s="530">
        <f t="shared" si="81"/>
        <v>820714.55131932069</v>
      </c>
      <c r="Q183" s="530">
        <f t="shared" si="81"/>
        <v>808265.15028092533</v>
      </c>
      <c r="R183" s="530">
        <f t="shared" si="81"/>
        <v>796001.62916194752</v>
      </c>
      <c r="S183" s="530">
        <f t="shared" si="81"/>
        <v>783919.53057727253</v>
      </c>
      <c r="T183" s="530">
        <f t="shared" si="81"/>
        <v>772014.34817226382</v>
      </c>
    </row>
    <row r="184" spans="2:20" s="57" customFormat="1">
      <c r="B184" s="57" t="s">
        <v>1121</v>
      </c>
      <c r="C184" s="669">
        <f t="shared" ref="C184:T184" si="82">$C$178*C165</f>
        <v>1822360.8383060282</v>
      </c>
      <c r="D184" s="669">
        <f t="shared" si="82"/>
        <v>1816569.3326248419</v>
      </c>
      <c r="E184" s="669">
        <f t="shared" si="82"/>
        <v>1801256.2391615987</v>
      </c>
      <c r="F184" s="669">
        <f t="shared" si="82"/>
        <v>1759909.3040682562</v>
      </c>
      <c r="G184" s="669">
        <f t="shared" si="82"/>
        <v>1564888.828625005</v>
      </c>
      <c r="H184" s="669">
        <f t="shared" si="82"/>
        <v>1679734.4771718062</v>
      </c>
      <c r="I184" s="669">
        <f t="shared" si="82"/>
        <v>1540847.7504130602</v>
      </c>
      <c r="J184" s="669">
        <f t="shared" si="82"/>
        <v>1499592.5614847022</v>
      </c>
      <c r="K184" s="669">
        <f t="shared" si="82"/>
        <v>1500662.048943033</v>
      </c>
      <c r="L184" s="669">
        <f t="shared" si="82"/>
        <v>1487393.4987240797</v>
      </c>
      <c r="M184" s="669">
        <f t="shared" si="82"/>
        <v>1485828.8385716269</v>
      </c>
      <c r="N184" s="669">
        <f t="shared" si="82"/>
        <v>1473189.1784423643</v>
      </c>
      <c r="O184" s="669">
        <f t="shared" si="82"/>
        <v>1461178.0086264429</v>
      </c>
      <c r="P184" s="669">
        <f t="shared" si="82"/>
        <v>1449812.2827587996</v>
      </c>
      <c r="Q184" s="669">
        <f t="shared" si="82"/>
        <v>1439109.7971862331</v>
      </c>
      <c r="R184" s="669">
        <f t="shared" si="82"/>
        <v>1429089.223406875</v>
      </c>
      <c r="S184" s="669">
        <f t="shared" si="82"/>
        <v>1419770.1396156535</v>
      </c>
      <c r="T184" s="669">
        <f t="shared" si="82"/>
        <v>1411173.0610832523</v>
      </c>
    </row>
    <row r="185" spans="2:20" s="57" customFormat="1">
      <c r="C185" s="669"/>
      <c r="D185" s="669"/>
      <c r="E185" s="669"/>
      <c r="F185" s="669"/>
      <c r="G185" s="669"/>
      <c r="H185" s="669"/>
      <c r="I185" s="669"/>
      <c r="J185" s="669"/>
      <c r="K185" s="669"/>
      <c r="L185" s="669"/>
      <c r="M185" s="669"/>
      <c r="N185" s="669"/>
      <c r="O185" s="669"/>
      <c r="P185" s="669"/>
      <c r="Q185" s="669"/>
      <c r="R185" s="669"/>
      <c r="S185" s="669"/>
      <c r="T185" s="669"/>
    </row>
    <row r="186" spans="2:20" s="57" customFormat="1">
      <c r="C186" s="669"/>
      <c r="D186" s="669"/>
      <c r="E186" s="669"/>
      <c r="F186" s="669"/>
      <c r="G186" s="669"/>
      <c r="H186" s="669"/>
      <c r="I186" s="669"/>
      <c r="J186" s="669"/>
      <c r="K186" s="669"/>
      <c r="L186" s="669"/>
      <c r="M186" s="669"/>
      <c r="N186" s="669"/>
      <c r="O186" s="669"/>
      <c r="P186" s="669"/>
      <c r="Q186" s="669"/>
      <c r="R186" s="669"/>
      <c r="S186" s="669"/>
      <c r="T186" s="669"/>
    </row>
    <row r="187" spans="2:20" s="57" customFormat="1">
      <c r="C187" s="669"/>
      <c r="D187" s="669"/>
      <c r="E187" s="669"/>
      <c r="F187" s="669"/>
      <c r="G187" s="669"/>
      <c r="H187" s="669"/>
      <c r="I187" s="669"/>
      <c r="J187" s="669"/>
      <c r="K187" s="669"/>
      <c r="L187" s="669"/>
      <c r="M187" s="669"/>
      <c r="N187" s="669"/>
      <c r="O187" s="669"/>
      <c r="P187" s="669"/>
      <c r="Q187" s="669"/>
      <c r="R187" s="669"/>
      <c r="S187" s="669"/>
      <c r="T187" s="669"/>
    </row>
    <row r="188" spans="2:20" s="57" customFormat="1">
      <c r="C188" s="669"/>
      <c r="D188" s="669"/>
      <c r="E188" s="669"/>
      <c r="F188" s="669"/>
      <c r="G188" s="669"/>
      <c r="H188" s="669"/>
      <c r="I188" s="669"/>
      <c r="J188" s="669"/>
      <c r="K188" s="669"/>
      <c r="L188" s="669"/>
      <c r="M188" s="669"/>
      <c r="N188" s="669"/>
      <c r="O188" s="669"/>
      <c r="P188" s="669"/>
      <c r="Q188" s="669"/>
      <c r="R188" s="669"/>
      <c r="S188" s="669"/>
      <c r="T188" s="669"/>
    </row>
    <row r="189" spans="2:20" s="57" customFormat="1">
      <c r="C189" s="669"/>
      <c r="D189" s="669"/>
      <c r="E189" s="669"/>
      <c r="F189" s="669"/>
      <c r="G189" s="669"/>
      <c r="H189" s="669"/>
      <c r="I189" s="669"/>
      <c r="J189" s="669"/>
      <c r="K189" s="669"/>
      <c r="L189" s="669"/>
      <c r="M189" s="669"/>
      <c r="N189" s="669"/>
      <c r="O189" s="669"/>
      <c r="P189" s="669"/>
      <c r="Q189" s="669"/>
      <c r="R189" s="669"/>
      <c r="S189" s="669"/>
      <c r="T189" s="669"/>
    </row>
    <row r="190" spans="2:20" s="57" customFormat="1">
      <c r="C190" s="669"/>
      <c r="D190" s="669"/>
      <c r="E190" s="669"/>
      <c r="F190" s="669"/>
      <c r="G190" s="669"/>
      <c r="H190" s="669"/>
      <c r="I190" s="669"/>
      <c r="J190" s="669"/>
      <c r="K190" s="669"/>
      <c r="L190" s="669"/>
      <c r="M190" s="669"/>
      <c r="N190" s="669"/>
      <c r="O190" s="669"/>
      <c r="P190" s="669"/>
      <c r="Q190" s="669"/>
      <c r="R190" s="669"/>
      <c r="S190" s="669"/>
      <c r="T190" s="669"/>
    </row>
    <row r="191" spans="2:20" s="57" customFormat="1">
      <c r="C191" s="669"/>
      <c r="D191" s="669"/>
      <c r="E191" s="669"/>
      <c r="F191" s="669"/>
      <c r="G191" s="669"/>
      <c r="H191" s="669"/>
      <c r="I191" s="669"/>
      <c r="J191" s="669"/>
      <c r="K191" s="669"/>
      <c r="L191" s="669"/>
      <c r="M191" s="669"/>
      <c r="N191" s="669"/>
      <c r="O191" s="669"/>
      <c r="P191" s="669"/>
      <c r="Q191" s="669"/>
      <c r="R191" s="669"/>
      <c r="S191" s="669"/>
      <c r="T191" s="669"/>
    </row>
    <row r="192" spans="2:20" s="57" customFormat="1">
      <c r="C192" s="669"/>
      <c r="D192" s="669"/>
      <c r="E192" s="669"/>
      <c r="F192" s="669"/>
      <c r="G192" s="669"/>
      <c r="H192" s="669"/>
      <c r="I192" s="669"/>
      <c r="J192" s="669"/>
      <c r="K192" s="669"/>
      <c r="L192" s="669"/>
      <c r="M192" s="669"/>
      <c r="N192" s="669"/>
      <c r="O192" s="669"/>
      <c r="P192" s="669"/>
      <c r="Q192" s="669"/>
      <c r="R192" s="669"/>
      <c r="S192" s="669"/>
      <c r="T192" s="669"/>
    </row>
    <row r="193" spans="2:20" s="57" customFormat="1">
      <c r="C193" s="669"/>
      <c r="D193" s="669"/>
      <c r="E193" s="669"/>
      <c r="F193" s="669"/>
      <c r="G193" s="669"/>
      <c r="H193" s="669"/>
      <c r="I193" s="669"/>
      <c r="J193" s="669"/>
      <c r="K193" s="669"/>
      <c r="L193" s="669"/>
      <c r="M193" s="669"/>
      <c r="N193" s="669"/>
      <c r="O193" s="669"/>
      <c r="P193" s="669"/>
      <c r="Q193" s="669"/>
      <c r="R193" s="669"/>
      <c r="S193" s="669"/>
      <c r="T193" s="669"/>
    </row>
    <row r="194" spans="2:20" s="57" customFormat="1">
      <c r="C194" s="669"/>
      <c r="D194" s="669"/>
      <c r="E194" s="669"/>
      <c r="F194" s="669"/>
      <c r="G194" s="669"/>
      <c r="H194" s="669"/>
      <c r="I194" s="669"/>
      <c r="J194" s="669"/>
      <c r="K194" s="669"/>
      <c r="L194" s="669"/>
      <c r="M194" s="669"/>
      <c r="N194" s="669"/>
      <c r="O194" s="669"/>
      <c r="P194" s="669"/>
      <c r="Q194" s="669"/>
      <c r="R194" s="669"/>
      <c r="S194" s="669"/>
      <c r="T194" s="669"/>
    </row>
    <row r="195" spans="2:20" s="57" customFormat="1">
      <c r="C195" s="669"/>
      <c r="D195" s="669"/>
      <c r="E195" s="669"/>
      <c r="F195" s="669"/>
      <c r="G195" s="669"/>
      <c r="H195" s="669"/>
      <c r="I195" s="669"/>
      <c r="J195" s="669"/>
      <c r="K195" s="669"/>
      <c r="L195" s="669"/>
      <c r="M195" s="669"/>
      <c r="N195" s="669"/>
      <c r="O195" s="669"/>
      <c r="P195" s="669"/>
      <c r="Q195" s="669"/>
      <c r="R195" s="669"/>
      <c r="S195" s="669"/>
      <c r="T195" s="669"/>
    </row>
    <row r="196" spans="2:20" s="57" customFormat="1">
      <c r="C196" s="669"/>
      <c r="D196" s="669"/>
      <c r="E196" s="669"/>
      <c r="F196" s="669"/>
      <c r="G196" s="669"/>
      <c r="H196" s="669"/>
      <c r="I196" s="669"/>
      <c r="J196" s="669"/>
      <c r="K196" s="669"/>
      <c r="L196" s="669"/>
      <c r="M196" s="669"/>
      <c r="N196" s="669"/>
      <c r="O196" s="669"/>
      <c r="P196" s="669"/>
      <c r="Q196" s="669"/>
      <c r="R196" s="669"/>
      <c r="S196" s="669"/>
      <c r="T196" s="669"/>
    </row>
    <row r="198" spans="2:20">
      <c r="B198" s="22" t="s">
        <v>1150</v>
      </c>
      <c r="C198" s="530"/>
    </row>
    <row r="199" spans="2:20">
      <c r="B199" s="57" t="s">
        <v>1152</v>
      </c>
      <c r="C199" s="530">
        <f>C168*'B_02 Benefity varianty'!F43</f>
        <v>188369322.95454544</v>
      </c>
      <c r="D199" s="530">
        <f t="shared" ref="D199:T199" si="83">C199</f>
        <v>188369322.95454544</v>
      </c>
      <c r="E199" s="530">
        <f t="shared" si="83"/>
        <v>188369322.95454544</v>
      </c>
      <c r="F199" s="530">
        <f t="shared" si="83"/>
        <v>188369322.95454544</v>
      </c>
      <c r="G199" s="530">
        <f t="shared" si="83"/>
        <v>188369322.95454544</v>
      </c>
      <c r="H199" s="530">
        <f t="shared" si="83"/>
        <v>188369322.95454544</v>
      </c>
      <c r="I199" s="530">
        <f t="shared" si="83"/>
        <v>188369322.95454544</v>
      </c>
      <c r="J199" s="530">
        <f t="shared" si="83"/>
        <v>188369322.95454544</v>
      </c>
      <c r="K199" s="530">
        <f t="shared" si="83"/>
        <v>188369322.95454544</v>
      </c>
      <c r="L199" s="530">
        <f t="shared" si="83"/>
        <v>188369322.95454544</v>
      </c>
      <c r="M199" s="530">
        <f t="shared" si="83"/>
        <v>188369322.95454544</v>
      </c>
      <c r="N199" s="530">
        <f t="shared" si="83"/>
        <v>188369322.95454544</v>
      </c>
      <c r="O199" s="530">
        <f t="shared" si="83"/>
        <v>188369322.95454544</v>
      </c>
      <c r="P199" s="530">
        <f t="shared" si="83"/>
        <v>188369322.95454544</v>
      </c>
      <c r="Q199" s="530">
        <f t="shared" si="83"/>
        <v>188369322.95454544</v>
      </c>
      <c r="R199" s="530">
        <f t="shared" si="83"/>
        <v>188369322.95454544</v>
      </c>
      <c r="S199" s="530">
        <f t="shared" si="83"/>
        <v>188369322.95454544</v>
      </c>
      <c r="T199" s="530">
        <f t="shared" si="83"/>
        <v>188369322.95454544</v>
      </c>
    </row>
    <row r="200" spans="2:20">
      <c r="B200" s="599" t="s">
        <v>1034</v>
      </c>
      <c r="C200" s="530">
        <f t="shared" ref="C200:T200" si="84">$C$199*C131</f>
        <v>12616226.897001343</v>
      </c>
      <c r="D200" s="530">
        <f t="shared" si="84"/>
        <v>12628624.071446471</v>
      </c>
      <c r="E200" s="530">
        <f t="shared" si="84"/>
        <v>12300080.637952862</v>
      </c>
      <c r="F200" s="530">
        <f t="shared" si="84"/>
        <v>12334474.054002857</v>
      </c>
      <c r="G200" s="530">
        <f t="shared" si="84"/>
        <v>15801400.401309894</v>
      </c>
      <c r="H200" s="530">
        <f t="shared" si="84"/>
        <v>16470416.938549716</v>
      </c>
      <c r="I200" s="530">
        <f t="shared" si="84"/>
        <v>18174912.879928086</v>
      </c>
      <c r="J200" s="530">
        <f t="shared" si="84"/>
        <v>18478857.887247644</v>
      </c>
      <c r="K200" s="530">
        <f t="shared" si="84"/>
        <v>18590561.53587272</v>
      </c>
      <c r="L200" s="530">
        <f t="shared" si="84"/>
        <v>18633619.832581539</v>
      </c>
      <c r="M200" s="530">
        <f t="shared" si="84"/>
        <v>18674247.043123305</v>
      </c>
      <c r="N200" s="530">
        <f t="shared" si="84"/>
        <v>18712397.991687708</v>
      </c>
      <c r="O200" s="530">
        <f t="shared" si="84"/>
        <v>18748026.31648035</v>
      </c>
      <c r="P200" s="530">
        <f t="shared" si="84"/>
        <v>18781084.486493181</v>
      </c>
      <c r="Q200" s="530">
        <f t="shared" si="84"/>
        <v>18811523.823001754</v>
      </c>
      <c r="R200" s="530">
        <f t="shared" si="84"/>
        <v>18839294.525971059</v>
      </c>
      <c r="S200" s="530">
        <f t="shared" si="84"/>
        <v>18864345.705556046</v>
      </c>
      <c r="T200" s="530">
        <f t="shared" si="84"/>
        <v>18886625.418889131</v>
      </c>
    </row>
    <row r="201" spans="2:20">
      <c r="B201" s="599" t="s">
        <v>1035</v>
      </c>
      <c r="C201" s="530">
        <f t="shared" ref="C201:T201" si="85">$C$199*C132</f>
        <v>18324973.503400479</v>
      </c>
      <c r="D201" s="530">
        <f t="shared" si="85"/>
        <v>18224145.569011558</v>
      </c>
      <c r="E201" s="530">
        <f t="shared" si="85"/>
        <v>17640238.921955191</v>
      </c>
      <c r="F201" s="530">
        <f t="shared" si="85"/>
        <v>17563024.160538413</v>
      </c>
      <c r="G201" s="530">
        <f t="shared" si="85"/>
        <v>22362633.863472819</v>
      </c>
      <c r="H201" s="530">
        <f t="shared" si="85"/>
        <v>22091063.345201939</v>
      </c>
      <c r="I201" s="530">
        <f t="shared" si="85"/>
        <v>24245269.885439523</v>
      </c>
      <c r="J201" s="530">
        <f t="shared" si="85"/>
        <v>24377467.932044722</v>
      </c>
      <c r="K201" s="530">
        <f t="shared" si="85"/>
        <v>24250638.606123406</v>
      </c>
      <c r="L201" s="530">
        <f t="shared" si="85"/>
        <v>24032767.838711519</v>
      </c>
      <c r="M201" s="530">
        <f t="shared" si="85"/>
        <v>23811376.998137452</v>
      </c>
      <c r="N201" s="530">
        <f t="shared" si="85"/>
        <v>23586579.110403508</v>
      </c>
      <c r="O201" s="530">
        <f t="shared" si="85"/>
        <v>23358487.256668434</v>
      </c>
      <c r="P201" s="530">
        <f t="shared" si="85"/>
        <v>23127214.531096172</v>
      </c>
      <c r="Q201" s="530">
        <f t="shared" si="85"/>
        <v>22892874.002328098</v>
      </c>
      <c r="R201" s="530">
        <f t="shared" si="85"/>
        <v>22655578.678490061</v>
      </c>
      <c r="S201" s="530">
        <f t="shared" si="85"/>
        <v>22415441.475640584</v>
      </c>
      <c r="T201" s="530">
        <f t="shared" si="85"/>
        <v>22172575.189562567</v>
      </c>
    </row>
    <row r="202" spans="2:20" s="57" customFormat="1">
      <c r="B202" s="57" t="s">
        <v>1118</v>
      </c>
      <c r="C202" s="670">
        <f t="shared" ref="C202:T202" si="86">$C$199*C133</f>
        <v>30941200.400401823</v>
      </c>
      <c r="D202" s="670">
        <f t="shared" si="86"/>
        <v>30852769.640458032</v>
      </c>
      <c r="E202" s="670">
        <f t="shared" si="86"/>
        <v>29940319.559908051</v>
      </c>
      <c r="F202" s="670">
        <f t="shared" si="86"/>
        <v>29897498.214541271</v>
      </c>
      <c r="G202" s="670">
        <f t="shared" si="86"/>
        <v>38164034.264782712</v>
      </c>
      <c r="H202" s="670">
        <f t="shared" si="86"/>
        <v>38561480.283751652</v>
      </c>
      <c r="I202" s="670">
        <f t="shared" si="86"/>
        <v>42420182.765367605</v>
      </c>
      <c r="J202" s="670">
        <f t="shared" si="86"/>
        <v>42856325.819292359</v>
      </c>
      <c r="K202" s="670">
        <f t="shared" si="86"/>
        <v>42841200.14199613</v>
      </c>
      <c r="L202" s="670">
        <f t="shared" si="86"/>
        <v>42666387.67129305</v>
      </c>
      <c r="M202" s="670">
        <f t="shared" si="86"/>
        <v>42485624.041260749</v>
      </c>
      <c r="N202" s="670">
        <f t="shared" si="86"/>
        <v>42298977.102091216</v>
      </c>
      <c r="O202" s="670">
        <f t="shared" si="86"/>
        <v>42106513.573148794</v>
      </c>
      <c r="P202" s="670">
        <f t="shared" si="86"/>
        <v>41908299.017589353</v>
      </c>
      <c r="Q202" s="670">
        <f t="shared" si="86"/>
        <v>41704397.825329848</v>
      </c>
      <c r="R202" s="670">
        <f t="shared" si="86"/>
        <v>41494873.204461113</v>
      </c>
      <c r="S202" s="670">
        <f t="shared" si="86"/>
        <v>41279787.181196623</v>
      </c>
      <c r="T202" s="670">
        <f t="shared" si="86"/>
        <v>41059200.608451702</v>
      </c>
    </row>
    <row r="203" spans="2:20">
      <c r="B203" s="599" t="s">
        <v>1031</v>
      </c>
      <c r="C203" s="530">
        <f t="shared" ref="C203:T203" si="87">$C$199*C134</f>
        <v>29493749.828609254</v>
      </c>
      <c r="D203" s="530">
        <f t="shared" si="87"/>
        <v>32376675.925079748</v>
      </c>
      <c r="E203" s="530">
        <f t="shared" si="87"/>
        <v>36730457.782266699</v>
      </c>
      <c r="F203" s="530">
        <f t="shared" si="87"/>
        <v>36434370.88364616</v>
      </c>
      <c r="G203" s="530">
        <f t="shared" si="87"/>
        <v>32740739.209696118</v>
      </c>
      <c r="H203" s="530">
        <f t="shared" si="87"/>
        <v>30596356.841336988</v>
      </c>
      <c r="I203" s="530">
        <f t="shared" si="87"/>
        <v>25590334.202704441</v>
      </c>
      <c r="J203" s="530">
        <f t="shared" si="87"/>
        <v>26728604.911422819</v>
      </c>
      <c r="K203" s="530">
        <f t="shared" si="87"/>
        <v>26270969.467269436</v>
      </c>
      <c r="L203" s="530">
        <f t="shared" si="87"/>
        <v>25802437.573549487</v>
      </c>
      <c r="M203" s="530">
        <f t="shared" si="87"/>
        <v>25341714.225947022</v>
      </c>
      <c r="N203" s="530">
        <f t="shared" si="87"/>
        <v>24888655.652233157</v>
      </c>
      <c r="O203" s="530">
        <f t="shared" si="87"/>
        <v>24443118.647525623</v>
      </c>
      <c r="P203" s="530">
        <f t="shared" si="87"/>
        <v>24004960.708739772</v>
      </c>
      <c r="Q203" s="530">
        <f t="shared" si="87"/>
        <v>23574040.162682548</v>
      </c>
      <c r="R203" s="530">
        <f t="shared" si="87"/>
        <v>23150216.28802973</v>
      </c>
      <c r="S203" s="530">
        <f t="shared" si="87"/>
        <v>22733349.431431543</v>
      </c>
      <c r="T203" s="530">
        <f t="shared" si="87"/>
        <v>22323301.117995594</v>
      </c>
    </row>
    <row r="204" spans="2:20">
      <c r="B204" s="599" t="s">
        <v>1033</v>
      </c>
      <c r="C204" s="530">
        <f t="shared" ref="C204:T204" si="88">$C$199*C135</f>
        <v>35007375.700100332</v>
      </c>
      <c r="D204" s="530">
        <f t="shared" si="88"/>
        <v>32437955.885909166</v>
      </c>
      <c r="E204" s="530">
        <f t="shared" si="88"/>
        <v>31462709.525349878</v>
      </c>
      <c r="F204" s="530">
        <f t="shared" si="88"/>
        <v>29821583.327256706</v>
      </c>
      <c r="G204" s="530">
        <f t="shared" si="88"/>
        <v>32655584.447216131</v>
      </c>
      <c r="H204" s="530">
        <f t="shared" si="88"/>
        <v>34218835.408126637</v>
      </c>
      <c r="I204" s="530">
        <f t="shared" si="88"/>
        <v>28685292.458739508</v>
      </c>
      <c r="J204" s="530">
        <f t="shared" si="88"/>
        <v>29646197.959608462</v>
      </c>
      <c r="K204" s="530">
        <f t="shared" si="88"/>
        <v>29138608.767592441</v>
      </c>
      <c r="L204" s="530">
        <f t="shared" si="88"/>
        <v>29130555.373088725</v>
      </c>
      <c r="M204" s="530">
        <f t="shared" si="88"/>
        <v>29130275.370674688</v>
      </c>
      <c r="N204" s="530">
        <f t="shared" si="88"/>
        <v>29138145.139080271</v>
      </c>
      <c r="O204" s="530">
        <f t="shared" si="88"/>
        <v>29154547.988768682</v>
      </c>
      <c r="P204" s="530">
        <f t="shared" si="88"/>
        <v>29179874.261653442</v>
      </c>
      <c r="Q204" s="530">
        <f t="shared" si="88"/>
        <v>29214521.41778465</v>
      </c>
      <c r="R204" s="530">
        <f t="shared" si="88"/>
        <v>29258894.107215934</v>
      </c>
      <c r="S204" s="530">
        <f t="shared" si="88"/>
        <v>29313404.225175608</v>
      </c>
      <c r="T204" s="530">
        <f t="shared" si="88"/>
        <v>29378470.948576842</v>
      </c>
    </row>
    <row r="205" spans="2:20" s="57" customFormat="1">
      <c r="B205" s="57" t="s">
        <v>1121</v>
      </c>
      <c r="C205" s="670">
        <f t="shared" ref="C205:T205" si="89">$C$199*C136</f>
        <v>64501125.528709583</v>
      </c>
      <c r="D205" s="670">
        <f t="shared" si="89"/>
        <v>64814631.810988903</v>
      </c>
      <c r="E205" s="670">
        <f t="shared" si="89"/>
        <v>68193167.307616577</v>
      </c>
      <c r="F205" s="670">
        <f t="shared" si="89"/>
        <v>66255954.21090287</v>
      </c>
      <c r="G205" s="670">
        <f t="shared" si="89"/>
        <v>65396323.656912245</v>
      </c>
      <c r="H205" s="670">
        <f t="shared" si="89"/>
        <v>64815192.249463618</v>
      </c>
      <c r="I205" s="670">
        <f t="shared" si="89"/>
        <v>54275626.661443949</v>
      </c>
      <c r="J205" s="670">
        <f t="shared" si="89"/>
        <v>56374802.871031284</v>
      </c>
      <c r="K205" s="670">
        <f t="shared" si="89"/>
        <v>55409578.234861881</v>
      </c>
      <c r="L205" s="670">
        <f t="shared" si="89"/>
        <v>54932992.946638197</v>
      </c>
      <c r="M205" s="670">
        <f t="shared" si="89"/>
        <v>54471989.596621715</v>
      </c>
      <c r="N205" s="670">
        <f t="shared" si="89"/>
        <v>54026800.791313425</v>
      </c>
      <c r="O205" s="670">
        <f t="shared" si="89"/>
        <v>53597666.636294305</v>
      </c>
      <c r="P205" s="670">
        <f t="shared" si="89"/>
        <v>53184834.970393211</v>
      </c>
      <c r="Q205" s="670">
        <f t="shared" si="89"/>
        <v>52788561.580467202</v>
      </c>
      <c r="R205" s="670">
        <f t="shared" si="89"/>
        <v>52409110.395245664</v>
      </c>
      <c r="S205" s="670">
        <f t="shared" si="89"/>
        <v>52046753.656607158</v>
      </c>
      <c r="T205" s="670">
        <f t="shared" si="89"/>
        <v>51701772.066572435</v>
      </c>
    </row>
    <row r="206" spans="2:20" s="57" customFormat="1">
      <c r="B206" s="57" t="s">
        <v>1122</v>
      </c>
      <c r="C206" s="670">
        <f t="shared" ref="C206:T206" si="90">$C$199*C137</f>
        <v>92926997.025434047</v>
      </c>
      <c r="D206" s="670">
        <f t="shared" si="90"/>
        <v>92701921.503098488</v>
      </c>
      <c r="E206" s="670">
        <f t="shared" si="90"/>
        <v>90235836.0870208</v>
      </c>
      <c r="F206" s="670">
        <f t="shared" si="90"/>
        <v>92215870.529101297</v>
      </c>
      <c r="G206" s="670">
        <f t="shared" si="90"/>
        <v>84808965.032850474</v>
      </c>
      <c r="H206" s="670">
        <f t="shared" si="90"/>
        <v>84992650.421330169</v>
      </c>
      <c r="I206" s="670">
        <f t="shared" si="90"/>
        <v>91673513.527733862</v>
      </c>
      <c r="J206" s="670">
        <f t="shared" si="90"/>
        <v>89138194.264221817</v>
      </c>
      <c r="K206" s="670">
        <f t="shared" si="90"/>
        <v>90118544.577687442</v>
      </c>
      <c r="L206" s="670">
        <f t="shared" si="90"/>
        <v>90769942.336614192</v>
      </c>
      <c r="M206" s="670">
        <f t="shared" si="90"/>
        <v>91411709.316662967</v>
      </c>
      <c r="N206" s="670">
        <f t="shared" si="90"/>
        <v>92043545.061140791</v>
      </c>
      <c r="O206" s="670">
        <f t="shared" si="90"/>
        <v>92665142.745102331</v>
      </c>
      <c r="P206" s="670">
        <f t="shared" si="90"/>
        <v>93276188.966562882</v>
      </c>
      <c r="Q206" s="670">
        <f t="shared" si="90"/>
        <v>93876363.548748374</v>
      </c>
      <c r="R206" s="670">
        <f t="shared" si="90"/>
        <v>94465339.354838669</v>
      </c>
      <c r="S206" s="670">
        <f t="shared" si="90"/>
        <v>95042782.116741642</v>
      </c>
      <c r="T206" s="670">
        <f t="shared" si="90"/>
        <v>95608350.279521316</v>
      </c>
    </row>
    <row r="208" spans="2:20">
      <c r="B208" s="22" t="s">
        <v>1151</v>
      </c>
    </row>
    <row r="209" spans="2:20" s="57" customFormat="1">
      <c r="B209" s="57" t="s">
        <v>1152</v>
      </c>
      <c r="C209" s="669">
        <f t="shared" ref="C209:T209" si="91">C199</f>
        <v>188369322.95454544</v>
      </c>
      <c r="D209" s="669">
        <f t="shared" si="91"/>
        <v>188369322.95454544</v>
      </c>
      <c r="E209" s="669">
        <f t="shared" si="91"/>
        <v>188369322.95454544</v>
      </c>
      <c r="F209" s="669">
        <f t="shared" si="91"/>
        <v>188369322.95454544</v>
      </c>
      <c r="G209" s="669">
        <f t="shared" si="91"/>
        <v>188369322.95454544</v>
      </c>
      <c r="H209" s="669">
        <f t="shared" si="91"/>
        <v>188369322.95454544</v>
      </c>
      <c r="I209" s="669">
        <f t="shared" si="91"/>
        <v>188369322.95454544</v>
      </c>
      <c r="J209" s="669">
        <f t="shared" si="91"/>
        <v>188369322.95454544</v>
      </c>
      <c r="K209" s="669">
        <f t="shared" si="91"/>
        <v>188369322.95454544</v>
      </c>
      <c r="L209" s="669">
        <f t="shared" si="91"/>
        <v>188369322.95454544</v>
      </c>
      <c r="M209" s="669">
        <f t="shared" si="91"/>
        <v>188369322.95454544</v>
      </c>
      <c r="N209" s="669">
        <f t="shared" si="91"/>
        <v>188369322.95454544</v>
      </c>
      <c r="O209" s="669">
        <f t="shared" si="91"/>
        <v>188369322.95454544</v>
      </c>
      <c r="P209" s="669">
        <f t="shared" si="91"/>
        <v>188369322.95454544</v>
      </c>
      <c r="Q209" s="669">
        <f t="shared" si="91"/>
        <v>188369322.95454544</v>
      </c>
      <c r="R209" s="669">
        <f t="shared" si="91"/>
        <v>188369322.95454544</v>
      </c>
      <c r="S209" s="669">
        <f t="shared" si="91"/>
        <v>188369322.95454544</v>
      </c>
      <c r="T209" s="669">
        <f t="shared" si="91"/>
        <v>188369322.95454544</v>
      </c>
    </row>
    <row r="210" spans="2:20">
      <c r="B210" s="599" t="s">
        <v>1034</v>
      </c>
      <c r="C210" s="530">
        <f t="shared" ref="C210:T210" si="92">$C$209*C141</f>
        <v>24899960.21884663</v>
      </c>
      <c r="D210" s="530">
        <f t="shared" si="92"/>
        <v>24865788.451389652</v>
      </c>
      <c r="E210" s="530">
        <f t="shared" si="92"/>
        <v>23610267.361489691</v>
      </c>
      <c r="F210" s="530">
        <f t="shared" si="92"/>
        <v>24163838.821642742</v>
      </c>
      <c r="G210" s="530">
        <f t="shared" si="92"/>
        <v>28741684.125686835</v>
      </c>
      <c r="H210" s="530">
        <f t="shared" si="92"/>
        <v>30011812.253841281</v>
      </c>
      <c r="I210" s="530">
        <f t="shared" si="92"/>
        <v>35405836.656667106</v>
      </c>
      <c r="J210" s="530">
        <f t="shared" si="92"/>
        <v>35078205.751916736</v>
      </c>
      <c r="K210" s="530">
        <f t="shared" si="92"/>
        <v>35642379.100805119</v>
      </c>
      <c r="L210" s="530">
        <f t="shared" si="92"/>
        <v>35963367.081152432</v>
      </c>
      <c r="M210" s="530">
        <f t="shared" si="92"/>
        <v>36280340.864584461</v>
      </c>
      <c r="N210" s="530">
        <f t="shared" si="92"/>
        <v>36592922.659299411</v>
      </c>
      <c r="O210" s="530">
        <f t="shared" si="92"/>
        <v>36900718.612716839</v>
      </c>
      <c r="P210" s="530">
        <f t="shared" si="92"/>
        <v>37203318.690915436</v>
      </c>
      <c r="Q210" s="530">
        <f t="shared" si="92"/>
        <v>37500296.620668128</v>
      </c>
      <c r="R210" s="530">
        <f t="shared" si="92"/>
        <v>37791209.901445799</v>
      </c>
      <c r="S210" s="530">
        <f t="shared" si="92"/>
        <v>38075599.895123057</v>
      </c>
      <c r="T210" s="530">
        <f t="shared" si="92"/>
        <v>38352992.001453578</v>
      </c>
    </row>
    <row r="211" spans="2:20">
      <c r="B211" s="599" t="s">
        <v>1035</v>
      </c>
      <c r="C211" s="530">
        <f t="shared" ref="C211:T211" si="93">$C$209*C142</f>
        <v>36167002.620612577</v>
      </c>
      <c r="D211" s="530">
        <f t="shared" si="93"/>
        <v>35883382.533412226</v>
      </c>
      <c r="E211" s="530">
        <f t="shared" si="93"/>
        <v>33860815.187081277</v>
      </c>
      <c r="F211" s="530">
        <f t="shared" si="93"/>
        <v>34406824.577829644</v>
      </c>
      <c r="G211" s="530">
        <f t="shared" si="93"/>
        <v>40676126.317832068</v>
      </c>
      <c r="H211" s="530">
        <f t="shared" si="93"/>
        <v>40253555.697922394</v>
      </c>
      <c r="I211" s="530">
        <f t="shared" si="93"/>
        <v>47231261.625947244</v>
      </c>
      <c r="J211" s="530">
        <f t="shared" si="93"/>
        <v>46275470.110148877</v>
      </c>
      <c r="K211" s="530">
        <f t="shared" si="93"/>
        <v>46494047.690178834</v>
      </c>
      <c r="L211" s="530">
        <f t="shared" si="93"/>
        <v>46383862.04748252</v>
      </c>
      <c r="M211" s="530">
        <f t="shared" si="93"/>
        <v>46260760.712474026</v>
      </c>
      <c r="N211" s="530">
        <f t="shared" si="93"/>
        <v>46124599.61400158</v>
      </c>
      <c r="O211" s="530">
        <f t="shared" si="93"/>
        <v>45975237.655782789</v>
      </c>
      <c r="P211" s="530">
        <f t="shared" si="93"/>
        <v>45812537.250035949</v>
      </c>
      <c r="Q211" s="530">
        <f t="shared" si="93"/>
        <v>45636364.904004708</v>
      </c>
      <c r="R211" s="530">
        <f t="shared" si="93"/>
        <v>45446591.861348197</v>
      </c>
      <c r="S211" s="530">
        <f t="shared" si="93"/>
        <v>45243094.80013743</v>
      </c>
      <c r="T211" s="530">
        <f t="shared" si="93"/>
        <v>45025756.588915229</v>
      </c>
    </row>
    <row r="212" spans="2:20" s="57" customFormat="1">
      <c r="B212" s="57" t="s">
        <v>1118</v>
      </c>
      <c r="C212" s="670">
        <f t="shared" ref="C212:T212" si="94">$C$209*C143</f>
        <v>61066962.839459211</v>
      </c>
      <c r="D212" s="670">
        <f t="shared" si="94"/>
        <v>60749170.984801881</v>
      </c>
      <c r="E212" s="670">
        <f t="shared" si="94"/>
        <v>57471082.548570976</v>
      </c>
      <c r="F212" s="670">
        <f t="shared" si="94"/>
        <v>58570663.399472386</v>
      </c>
      <c r="G212" s="670">
        <f t="shared" si="94"/>
        <v>69417810.443518922</v>
      </c>
      <c r="H212" s="670">
        <f t="shared" si="94"/>
        <v>70265367.951763675</v>
      </c>
      <c r="I212" s="670">
        <f t="shared" si="94"/>
        <v>82637098.282614335</v>
      </c>
      <c r="J212" s="670">
        <f t="shared" si="94"/>
        <v>81353675.862065598</v>
      </c>
      <c r="K212" s="670">
        <f t="shared" si="94"/>
        <v>82136426.79098396</v>
      </c>
      <c r="L212" s="670">
        <f t="shared" si="94"/>
        <v>82347229.12863493</v>
      </c>
      <c r="M212" s="670">
        <f t="shared" si="94"/>
        <v>82541101.577058479</v>
      </c>
      <c r="N212" s="670">
        <f t="shared" si="94"/>
        <v>82717522.273300976</v>
      </c>
      <c r="O212" s="670">
        <f t="shared" si="94"/>
        <v>82875956.268499643</v>
      </c>
      <c r="P212" s="670">
        <f t="shared" si="94"/>
        <v>83015855.940951377</v>
      </c>
      <c r="Q212" s="670">
        <f t="shared" si="94"/>
        <v>83136661.524672851</v>
      </c>
      <c r="R212" s="670">
        <f t="shared" si="94"/>
        <v>83237801.762793988</v>
      </c>
      <c r="S212" s="670">
        <f t="shared" si="94"/>
        <v>83318694.69526048</v>
      </c>
      <c r="T212" s="670">
        <f t="shared" si="94"/>
        <v>83378748.590368807</v>
      </c>
    </row>
    <row r="213" spans="2:20">
      <c r="B213" s="599" t="s">
        <v>1031</v>
      </c>
      <c r="C213" s="530">
        <f t="shared" ref="C213:T213" si="95">$C$209*C144</f>
        <v>58210208.442869529</v>
      </c>
      <c r="D213" s="530">
        <f t="shared" si="95"/>
        <v>63749745.796338454</v>
      </c>
      <c r="E213" s="530">
        <f t="shared" si="95"/>
        <v>70504897.819398344</v>
      </c>
      <c r="F213" s="530">
        <f t="shared" si="95"/>
        <v>71376717.138147309</v>
      </c>
      <c r="G213" s="530">
        <f t="shared" si="95"/>
        <v>59553201.647150666</v>
      </c>
      <c r="H213" s="530">
        <f t="shared" si="95"/>
        <v>55751601.225378178</v>
      </c>
      <c r="I213" s="530">
        <f t="shared" si="95"/>
        <v>49851528.794456579</v>
      </c>
      <c r="J213" s="530">
        <f t="shared" si="95"/>
        <v>50738606.696662724</v>
      </c>
      <c r="K213" s="530">
        <f t="shared" si="95"/>
        <v>50367486.280136019</v>
      </c>
      <c r="L213" s="530">
        <f t="shared" si="95"/>
        <v>49799370.298600808</v>
      </c>
      <c r="M213" s="530">
        <f t="shared" si="95"/>
        <v>49233901.002119049</v>
      </c>
      <c r="N213" s="530">
        <f t="shared" si="95"/>
        <v>48670867.933691323</v>
      </c>
      <c r="O213" s="530">
        <f t="shared" si="95"/>
        <v>48110058.520492055</v>
      </c>
      <c r="P213" s="530">
        <f t="shared" si="95"/>
        <v>47551258.50439655</v>
      </c>
      <c r="Q213" s="530">
        <f t="shared" si="95"/>
        <v>46994252.404326171</v>
      </c>
      <c r="R213" s="530">
        <f t="shared" si="95"/>
        <v>46438824.012159027</v>
      </c>
      <c r="S213" s="530">
        <f t="shared" si="95"/>
        <v>45884756.923865788</v>
      </c>
      <c r="T213" s="530">
        <f t="shared" si="95"/>
        <v>45331835.10741128</v>
      </c>
    </row>
    <row r="214" spans="2:20">
      <c r="B214" s="599" t="s">
        <v>1033</v>
      </c>
      <c r="C214" s="530">
        <f t="shared" ref="C214:T214" si="96">$C$209*C145</f>
        <v>69092151.672216684</v>
      </c>
      <c r="D214" s="530">
        <f t="shared" si="96"/>
        <v>63870406.173405118</v>
      </c>
      <c r="E214" s="530">
        <f t="shared" si="96"/>
        <v>60393342.586576127</v>
      </c>
      <c r="F214" s="530">
        <f t="shared" si="96"/>
        <v>58421942.416925743</v>
      </c>
      <c r="G214" s="530">
        <f t="shared" si="96"/>
        <v>59398310.863875866</v>
      </c>
      <c r="H214" s="530">
        <f t="shared" si="96"/>
        <v>62352353.777403608</v>
      </c>
      <c r="I214" s="530">
        <f t="shared" si="96"/>
        <v>55880695.877474502</v>
      </c>
      <c r="J214" s="530">
        <f t="shared" si="96"/>
        <v>56277040.395817146</v>
      </c>
      <c r="K214" s="530">
        <f t="shared" si="96"/>
        <v>55865409.883425489</v>
      </c>
      <c r="L214" s="530">
        <f t="shared" si="96"/>
        <v>56222723.527309716</v>
      </c>
      <c r="M214" s="530">
        <f t="shared" si="96"/>
        <v>56594320.37536791</v>
      </c>
      <c r="N214" s="530">
        <f t="shared" si="96"/>
        <v>56980932.747553125</v>
      </c>
      <c r="O214" s="530">
        <f t="shared" si="96"/>
        <v>57383308.165553719</v>
      </c>
      <c r="P214" s="530">
        <f t="shared" si="96"/>
        <v>57802208.509197518</v>
      </c>
      <c r="Q214" s="530">
        <f t="shared" si="96"/>
        <v>58238409.025546402</v>
      </c>
      <c r="R214" s="530">
        <f t="shared" si="96"/>
        <v>58692697.179592453</v>
      </c>
      <c r="S214" s="530">
        <f t="shared" si="96"/>
        <v>59165871.335419163</v>
      </c>
      <c r="T214" s="530">
        <f t="shared" si="96"/>
        <v>59658739.256765358</v>
      </c>
    </row>
    <row r="215" spans="2:20" s="57" customFormat="1">
      <c r="B215" s="57" t="s">
        <v>1121</v>
      </c>
      <c r="C215" s="670">
        <f t="shared" ref="C215:T215" si="97">$C$209*C146</f>
        <v>127302360.11508623</v>
      </c>
      <c r="D215" s="670">
        <f t="shared" si="97"/>
        <v>127620151.96974356</v>
      </c>
      <c r="E215" s="670">
        <f t="shared" si="97"/>
        <v>130898240.40597448</v>
      </c>
      <c r="F215" s="670">
        <f t="shared" si="97"/>
        <v>129798659.55507304</v>
      </c>
      <c r="G215" s="670">
        <f t="shared" si="97"/>
        <v>118951512.51102652</v>
      </c>
      <c r="H215" s="670">
        <f t="shared" si="97"/>
        <v>118103955.00278178</v>
      </c>
      <c r="I215" s="670">
        <f t="shared" si="97"/>
        <v>105732224.6719311</v>
      </c>
      <c r="J215" s="670">
        <f t="shared" si="97"/>
        <v>107015647.09247984</v>
      </c>
      <c r="K215" s="670">
        <f t="shared" si="97"/>
        <v>106232896.16356149</v>
      </c>
      <c r="L215" s="670">
        <f t="shared" si="97"/>
        <v>106022093.82591051</v>
      </c>
      <c r="M215" s="670">
        <f t="shared" si="97"/>
        <v>105828221.37748697</v>
      </c>
      <c r="N215" s="670">
        <f t="shared" si="97"/>
        <v>105651800.68124446</v>
      </c>
      <c r="O215" s="670">
        <f t="shared" si="97"/>
        <v>105493366.68604578</v>
      </c>
      <c r="P215" s="670">
        <f t="shared" si="97"/>
        <v>105353467.01359408</v>
      </c>
      <c r="Q215" s="670">
        <f t="shared" si="97"/>
        <v>105232661.42987257</v>
      </c>
      <c r="R215" s="670">
        <f t="shared" si="97"/>
        <v>105131521.19175145</v>
      </c>
      <c r="S215" s="670">
        <f t="shared" si="97"/>
        <v>105050628.25928496</v>
      </c>
      <c r="T215" s="670">
        <f t="shared" si="97"/>
        <v>104990574.36417665</v>
      </c>
    </row>
  </sheetData>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W35"/>
  <sheetViews>
    <sheetView showGridLines="0" topLeftCell="E2" workbookViewId="0">
      <selection activeCell="A7" sqref="A7"/>
    </sheetView>
  </sheetViews>
  <sheetFormatPr defaultColWidth="8.85546875" defaultRowHeight="12"/>
  <cols>
    <col min="1" max="2" width="19.85546875" style="66" customWidth="1"/>
    <col min="3" max="3" width="12.5703125" style="66" customWidth="1"/>
    <col min="4" max="23" width="10.85546875" style="66" customWidth="1"/>
    <col min="24" max="25" width="8.85546875" style="66" bestFit="1"/>
    <col min="26" max="16384" width="8.85546875" style="66"/>
  </cols>
  <sheetData>
    <row r="1" spans="1:23">
      <c r="A1" s="68" t="s">
        <v>325</v>
      </c>
      <c r="B1" s="68"/>
      <c r="C1" s="68" t="e">
        <f ca="1">_xll.VIEW("VBD_SK_WIN:do1003rs","!","!","!","!",$C$3)</f>
        <v>#NAME?</v>
      </c>
    </row>
    <row r="2" spans="1:23">
      <c r="A2" s="69" t="s">
        <v>326</v>
      </c>
      <c r="B2" s="69"/>
    </row>
    <row r="3" spans="1:23">
      <c r="A3" s="68" t="s">
        <v>327</v>
      </c>
      <c r="B3" s="68"/>
      <c r="C3" s="68" t="e">
        <f ca="1">_xll.SUBNM("VBD_SK_WIN:do1003rs_data","Data","TXT_VALUE")</f>
        <v>#NAME?</v>
      </c>
    </row>
    <row r="4" spans="1:23" ht="12" customHeight="1">
      <c r="A4" s="81"/>
      <c r="B4" s="89"/>
      <c r="C4" s="1907" t="s">
        <v>328</v>
      </c>
      <c r="D4" s="1908"/>
      <c r="E4" s="1908"/>
      <c r="F4" s="1908"/>
      <c r="G4" s="1908"/>
      <c r="H4" s="1908"/>
      <c r="I4" s="1908"/>
      <c r="J4" s="1908"/>
      <c r="K4" s="1908"/>
      <c r="L4" s="1908"/>
      <c r="M4" s="1908"/>
      <c r="N4" s="1908"/>
      <c r="O4" s="1908"/>
      <c r="P4" s="1908"/>
      <c r="Q4" s="1908"/>
      <c r="R4" s="1908"/>
      <c r="S4" s="1908"/>
      <c r="T4" s="1908"/>
      <c r="U4" s="1908"/>
      <c r="V4" s="1908"/>
      <c r="W4" s="1909"/>
    </row>
    <row r="5" spans="1:23">
      <c r="A5" s="81"/>
      <c r="B5" s="81"/>
      <c r="C5" s="82" t="s">
        <v>289</v>
      </c>
      <c r="D5" s="82" t="s">
        <v>290</v>
      </c>
      <c r="E5" s="82" t="s">
        <v>291</v>
      </c>
      <c r="F5" s="82" t="s">
        <v>292</v>
      </c>
      <c r="G5" s="82" t="s">
        <v>293</v>
      </c>
      <c r="H5" s="82" t="s">
        <v>294</v>
      </c>
      <c r="I5" s="82" t="s">
        <v>295</v>
      </c>
      <c r="J5" s="82" t="s">
        <v>296</v>
      </c>
      <c r="K5" s="82" t="s">
        <v>297</v>
      </c>
      <c r="L5" s="82" t="s">
        <v>298</v>
      </c>
      <c r="M5" s="82" t="s">
        <v>299</v>
      </c>
      <c r="N5" s="82" t="s">
        <v>300</v>
      </c>
      <c r="O5" s="82" t="s">
        <v>301</v>
      </c>
      <c r="P5" s="82" t="s">
        <v>302</v>
      </c>
      <c r="Q5" s="82" t="s">
        <v>303</v>
      </c>
      <c r="R5" s="82" t="s">
        <v>304</v>
      </c>
      <c r="S5" s="82" t="s">
        <v>305</v>
      </c>
      <c r="T5" s="82" t="s">
        <v>306</v>
      </c>
      <c r="U5" s="82" t="s">
        <v>307</v>
      </c>
      <c r="V5" s="82" t="s">
        <v>308</v>
      </c>
      <c r="W5" s="82" t="s">
        <v>309</v>
      </c>
    </row>
    <row r="6" spans="1:23">
      <c r="A6" s="82" t="s">
        <v>329</v>
      </c>
      <c r="B6" s="82"/>
      <c r="C6" s="73">
        <v>59430</v>
      </c>
      <c r="D6" s="73">
        <v>51274</v>
      </c>
      <c r="E6" s="73">
        <v>50325</v>
      </c>
      <c r="F6" s="73">
        <v>50458</v>
      </c>
      <c r="G6" s="73">
        <v>48438</v>
      </c>
      <c r="H6" s="73">
        <v>47070</v>
      </c>
      <c r="I6" s="73">
        <v>48744</v>
      </c>
      <c r="J6" s="73">
        <v>46667</v>
      </c>
      <c r="K6" s="73">
        <v>46583</v>
      </c>
      <c r="L6" s="73">
        <v>47531</v>
      </c>
      <c r="M6" s="73">
        <v>44698</v>
      </c>
      <c r="N6" s="73">
        <v>46064</v>
      </c>
      <c r="O6" s="73">
        <v>49272</v>
      </c>
      <c r="P6" s="73">
        <v>60566</v>
      </c>
      <c r="Q6" s="73">
        <v>69529</v>
      </c>
      <c r="R6" s="73">
        <v>75370</v>
      </c>
      <c r="S6" s="73">
        <v>77753</v>
      </c>
      <c r="T6" s="73">
        <v>81420</v>
      </c>
      <c r="U6" s="73">
        <v>49577</v>
      </c>
      <c r="V6" s="73">
        <v>46345</v>
      </c>
      <c r="W6" s="73">
        <v>68138</v>
      </c>
    </row>
    <row r="7" spans="1:23">
      <c r="A7" s="82" t="s">
        <v>330</v>
      </c>
      <c r="B7" s="82" t="s">
        <v>339</v>
      </c>
      <c r="C7" s="73">
        <v>536613</v>
      </c>
      <c r="D7" s="73">
        <v>493706</v>
      </c>
      <c r="E7" s="73">
        <v>461772</v>
      </c>
      <c r="F7" s="73">
        <v>449456</v>
      </c>
      <c r="G7" s="73">
        <v>403270</v>
      </c>
      <c r="H7" s="73">
        <v>384637</v>
      </c>
      <c r="I7" s="73">
        <v>365519</v>
      </c>
      <c r="J7" s="73">
        <v>323142</v>
      </c>
      <c r="K7" s="73">
        <v>312717</v>
      </c>
      <c r="L7" s="73">
        <v>299579</v>
      </c>
      <c r="M7" s="73">
        <v>289228</v>
      </c>
      <c r="N7" s="73">
        <v>270123</v>
      </c>
      <c r="O7" s="73">
        <v>262262</v>
      </c>
      <c r="P7" s="73">
        <v>252175</v>
      </c>
      <c r="Q7" s="73">
        <v>259194</v>
      </c>
      <c r="R7" s="73">
        <v>245731</v>
      </c>
      <c r="S7" s="73">
        <v>242733</v>
      </c>
      <c r="T7" s="73">
        <v>238886</v>
      </c>
      <c r="U7" s="73">
        <v>156333</v>
      </c>
      <c r="V7" s="73">
        <v>149826</v>
      </c>
      <c r="W7" s="73">
        <v>166689</v>
      </c>
    </row>
    <row r="8" spans="1:23">
      <c r="A8" s="82" t="s">
        <v>110</v>
      </c>
      <c r="B8" s="82"/>
      <c r="C8" s="73">
        <v>370018</v>
      </c>
      <c r="D8" s="73">
        <v>394465</v>
      </c>
      <c r="E8" s="73">
        <v>383118</v>
      </c>
      <c r="F8" s="73">
        <v>395064</v>
      </c>
      <c r="G8" s="73">
        <v>400673</v>
      </c>
      <c r="H8" s="73">
        <v>403466</v>
      </c>
      <c r="I8" s="73">
        <v>399425</v>
      </c>
      <c r="J8" s="73">
        <v>389263</v>
      </c>
      <c r="K8" s="73">
        <v>385594</v>
      </c>
      <c r="L8" s="73">
        <v>417293</v>
      </c>
      <c r="M8" s="73">
        <v>388239</v>
      </c>
      <c r="N8" s="73">
        <v>369323</v>
      </c>
      <c r="O8" s="73">
        <v>380576</v>
      </c>
      <c r="P8" s="73">
        <v>379468</v>
      </c>
      <c r="Q8" s="73">
        <v>377345</v>
      </c>
      <c r="R8" s="73">
        <v>373101</v>
      </c>
      <c r="S8" s="73">
        <v>374849</v>
      </c>
      <c r="T8" s="73">
        <v>382662</v>
      </c>
      <c r="U8" s="73">
        <v>283913</v>
      </c>
      <c r="V8" s="73">
        <v>259459</v>
      </c>
      <c r="W8" s="73">
        <v>373186</v>
      </c>
    </row>
    <row r="9" spans="1:23" s="67" customFormat="1">
      <c r="A9" s="83" t="s">
        <v>203</v>
      </c>
      <c r="B9" s="83"/>
      <c r="C9" s="84">
        <f t="shared" ref="C9:W9" si="0">SUM(C6:C8)</f>
        <v>966061</v>
      </c>
      <c r="D9" s="84">
        <f t="shared" si="0"/>
        <v>939445</v>
      </c>
      <c r="E9" s="84">
        <f t="shared" si="0"/>
        <v>895215</v>
      </c>
      <c r="F9" s="84">
        <f t="shared" si="0"/>
        <v>894978</v>
      </c>
      <c r="G9" s="84">
        <f t="shared" si="0"/>
        <v>852381</v>
      </c>
      <c r="H9" s="84">
        <f t="shared" si="0"/>
        <v>835173</v>
      </c>
      <c r="I9" s="84">
        <f t="shared" si="0"/>
        <v>813688</v>
      </c>
      <c r="J9" s="84">
        <f t="shared" si="0"/>
        <v>759072</v>
      </c>
      <c r="K9" s="84">
        <f t="shared" si="0"/>
        <v>744894</v>
      </c>
      <c r="L9" s="84">
        <f t="shared" si="0"/>
        <v>764403</v>
      </c>
      <c r="M9" s="84">
        <f t="shared" si="0"/>
        <v>722165</v>
      </c>
      <c r="N9" s="84">
        <f t="shared" si="0"/>
        <v>685510</v>
      </c>
      <c r="O9" s="84">
        <f t="shared" si="0"/>
        <v>692110</v>
      </c>
      <c r="P9" s="84">
        <f t="shared" si="0"/>
        <v>692209</v>
      </c>
      <c r="Q9" s="84">
        <f t="shared" si="0"/>
        <v>706068</v>
      </c>
      <c r="R9" s="84">
        <f t="shared" si="0"/>
        <v>694202</v>
      </c>
      <c r="S9" s="84">
        <f t="shared" si="0"/>
        <v>695335</v>
      </c>
      <c r="T9" s="84">
        <f t="shared" si="0"/>
        <v>702968</v>
      </c>
      <c r="U9" s="84">
        <f t="shared" si="0"/>
        <v>489823</v>
      </c>
      <c r="V9" s="84">
        <f t="shared" si="0"/>
        <v>455630</v>
      </c>
      <c r="W9" s="84">
        <f t="shared" si="0"/>
        <v>608013</v>
      </c>
    </row>
    <row r="11" spans="1:23">
      <c r="A11" s="81"/>
      <c r="B11" s="89"/>
      <c r="C11" s="1907" t="s">
        <v>331</v>
      </c>
      <c r="D11" s="1908"/>
      <c r="E11" s="1908"/>
      <c r="F11" s="1908"/>
      <c r="G11" s="1908"/>
      <c r="H11" s="1908"/>
      <c r="I11" s="1908"/>
      <c r="J11" s="1908"/>
      <c r="K11" s="1908"/>
      <c r="L11" s="1908"/>
      <c r="M11" s="1908"/>
      <c r="N11" s="1908"/>
      <c r="O11" s="1908"/>
      <c r="P11" s="1908"/>
      <c r="Q11" s="1908"/>
      <c r="R11" s="1908"/>
      <c r="S11" s="1908"/>
      <c r="T11" s="1908"/>
      <c r="U11" s="1908"/>
      <c r="V11" s="1908"/>
      <c r="W11" s="1909"/>
    </row>
    <row r="12" spans="1:23">
      <c r="A12" s="81"/>
      <c r="B12" s="81"/>
      <c r="C12" s="82" t="s">
        <v>289</v>
      </c>
      <c r="D12" s="82" t="s">
        <v>290</v>
      </c>
      <c r="E12" s="82" t="s">
        <v>291</v>
      </c>
      <c r="F12" s="82" t="s">
        <v>292</v>
      </c>
      <c r="G12" s="82" t="s">
        <v>293</v>
      </c>
      <c r="H12" s="82" t="s">
        <v>294</v>
      </c>
      <c r="I12" s="82" t="s">
        <v>295</v>
      </c>
      <c r="J12" s="82" t="s">
        <v>296</v>
      </c>
      <c r="K12" s="82" t="s">
        <v>297</v>
      </c>
      <c r="L12" s="82" t="s">
        <v>298</v>
      </c>
      <c r="M12" s="82" t="s">
        <v>299</v>
      </c>
      <c r="N12" s="82" t="s">
        <v>300</v>
      </c>
      <c r="O12" s="82" t="s">
        <v>301</v>
      </c>
      <c r="P12" s="82" t="s">
        <v>302</v>
      </c>
      <c r="Q12" s="82" t="s">
        <v>303</v>
      </c>
      <c r="R12" s="82" t="s">
        <v>304</v>
      </c>
      <c r="S12" s="82" t="s">
        <v>305</v>
      </c>
      <c r="T12" s="82" t="s">
        <v>306</v>
      </c>
      <c r="U12" s="82" t="s">
        <v>307</v>
      </c>
      <c r="V12" s="82" t="s">
        <v>308</v>
      </c>
      <c r="W12" s="82" t="s">
        <v>309</v>
      </c>
    </row>
    <row r="13" spans="1:23">
      <c r="A13" s="82" t="s">
        <v>329</v>
      </c>
      <c r="B13" s="82"/>
      <c r="C13" s="76">
        <f t="shared" ref="C13:W13" si="1">C6*1000</f>
        <v>59430000</v>
      </c>
      <c r="D13" s="76">
        <f t="shared" si="1"/>
        <v>51274000</v>
      </c>
      <c r="E13" s="76">
        <f t="shared" si="1"/>
        <v>50325000</v>
      </c>
      <c r="F13" s="76">
        <f t="shared" si="1"/>
        <v>50458000</v>
      </c>
      <c r="G13" s="76">
        <f t="shared" si="1"/>
        <v>48438000</v>
      </c>
      <c r="H13" s="76">
        <f t="shared" si="1"/>
        <v>47070000</v>
      </c>
      <c r="I13" s="76">
        <f t="shared" si="1"/>
        <v>48744000</v>
      </c>
      <c r="J13" s="76">
        <f t="shared" si="1"/>
        <v>46667000</v>
      </c>
      <c r="K13" s="76">
        <f t="shared" si="1"/>
        <v>46583000</v>
      </c>
      <c r="L13" s="76">
        <f t="shared" si="1"/>
        <v>47531000</v>
      </c>
      <c r="M13" s="76">
        <f t="shared" si="1"/>
        <v>44698000</v>
      </c>
      <c r="N13" s="76">
        <f t="shared" si="1"/>
        <v>46064000</v>
      </c>
      <c r="O13" s="76">
        <f t="shared" si="1"/>
        <v>49272000</v>
      </c>
      <c r="P13" s="76">
        <f t="shared" si="1"/>
        <v>60566000</v>
      </c>
      <c r="Q13" s="76">
        <f t="shared" si="1"/>
        <v>69529000</v>
      </c>
      <c r="R13" s="76">
        <f t="shared" si="1"/>
        <v>75370000</v>
      </c>
      <c r="S13" s="76">
        <f t="shared" si="1"/>
        <v>77753000</v>
      </c>
      <c r="T13" s="76">
        <f t="shared" si="1"/>
        <v>81420000</v>
      </c>
      <c r="U13" s="76">
        <f t="shared" si="1"/>
        <v>49577000</v>
      </c>
      <c r="V13" s="76">
        <f t="shared" si="1"/>
        <v>46345000</v>
      </c>
      <c r="W13" s="76">
        <f t="shared" si="1"/>
        <v>68138000</v>
      </c>
    </row>
    <row r="14" spans="1:23">
      <c r="A14" s="82" t="s">
        <v>330</v>
      </c>
      <c r="B14" s="82" t="s">
        <v>339</v>
      </c>
      <c r="C14" s="76">
        <f t="shared" ref="C14:W14" si="2">C7*1000</f>
        <v>536613000</v>
      </c>
      <c r="D14" s="76">
        <f t="shared" si="2"/>
        <v>493706000</v>
      </c>
      <c r="E14" s="76">
        <f t="shared" si="2"/>
        <v>461772000</v>
      </c>
      <c r="F14" s="76">
        <f t="shared" si="2"/>
        <v>449456000</v>
      </c>
      <c r="G14" s="76">
        <f t="shared" si="2"/>
        <v>403270000</v>
      </c>
      <c r="H14" s="76">
        <f t="shared" si="2"/>
        <v>384637000</v>
      </c>
      <c r="I14" s="76">
        <f t="shared" si="2"/>
        <v>365519000</v>
      </c>
      <c r="J14" s="76">
        <f t="shared" si="2"/>
        <v>323142000</v>
      </c>
      <c r="K14" s="76">
        <f t="shared" si="2"/>
        <v>312717000</v>
      </c>
      <c r="L14" s="76">
        <f t="shared" si="2"/>
        <v>299579000</v>
      </c>
      <c r="M14" s="76">
        <f t="shared" si="2"/>
        <v>289228000</v>
      </c>
      <c r="N14" s="76">
        <f t="shared" si="2"/>
        <v>270123000</v>
      </c>
      <c r="O14" s="76">
        <f t="shared" si="2"/>
        <v>262262000</v>
      </c>
      <c r="P14" s="76">
        <f t="shared" si="2"/>
        <v>252175000</v>
      </c>
      <c r="Q14" s="76">
        <f t="shared" si="2"/>
        <v>259194000</v>
      </c>
      <c r="R14" s="76">
        <f t="shared" si="2"/>
        <v>245731000</v>
      </c>
      <c r="S14" s="76">
        <f t="shared" si="2"/>
        <v>242733000</v>
      </c>
      <c r="T14" s="76">
        <f t="shared" si="2"/>
        <v>238886000</v>
      </c>
      <c r="U14" s="76">
        <f t="shared" si="2"/>
        <v>156333000</v>
      </c>
      <c r="V14" s="76">
        <f t="shared" si="2"/>
        <v>149826000</v>
      </c>
      <c r="W14" s="76">
        <f t="shared" si="2"/>
        <v>166689000</v>
      </c>
    </row>
    <row r="15" spans="1:23">
      <c r="A15" s="82" t="s">
        <v>110</v>
      </c>
      <c r="B15" s="82"/>
      <c r="C15" s="76">
        <f t="shared" ref="C15:W15" si="3">C8*1000</f>
        <v>370018000</v>
      </c>
      <c r="D15" s="76">
        <f t="shared" si="3"/>
        <v>394465000</v>
      </c>
      <c r="E15" s="76">
        <f t="shared" si="3"/>
        <v>383118000</v>
      </c>
      <c r="F15" s="76">
        <f t="shared" si="3"/>
        <v>395064000</v>
      </c>
      <c r="G15" s="76">
        <f t="shared" si="3"/>
        <v>400673000</v>
      </c>
      <c r="H15" s="76">
        <f t="shared" si="3"/>
        <v>403466000</v>
      </c>
      <c r="I15" s="76">
        <f t="shared" si="3"/>
        <v>399425000</v>
      </c>
      <c r="J15" s="76">
        <f t="shared" si="3"/>
        <v>389263000</v>
      </c>
      <c r="K15" s="76">
        <f t="shared" si="3"/>
        <v>385594000</v>
      </c>
      <c r="L15" s="76">
        <f t="shared" si="3"/>
        <v>417293000</v>
      </c>
      <c r="M15" s="76">
        <f t="shared" si="3"/>
        <v>388239000</v>
      </c>
      <c r="N15" s="76">
        <f t="shared" si="3"/>
        <v>369323000</v>
      </c>
      <c r="O15" s="76">
        <f t="shared" si="3"/>
        <v>380576000</v>
      </c>
      <c r="P15" s="76">
        <f t="shared" si="3"/>
        <v>379468000</v>
      </c>
      <c r="Q15" s="76">
        <f t="shared" si="3"/>
        <v>377345000</v>
      </c>
      <c r="R15" s="76">
        <f t="shared" si="3"/>
        <v>373101000</v>
      </c>
      <c r="S15" s="76">
        <f t="shared" si="3"/>
        <v>374849000</v>
      </c>
      <c r="T15" s="76">
        <f t="shared" si="3"/>
        <v>382662000</v>
      </c>
      <c r="U15" s="76">
        <f t="shared" si="3"/>
        <v>283913000</v>
      </c>
      <c r="V15" s="76">
        <f t="shared" si="3"/>
        <v>259459000</v>
      </c>
      <c r="W15" s="76">
        <f t="shared" si="3"/>
        <v>373186000</v>
      </c>
    </row>
    <row r="16" spans="1:23" s="67" customFormat="1">
      <c r="A16" s="83" t="s">
        <v>203</v>
      </c>
      <c r="B16" s="83"/>
      <c r="C16" s="84">
        <f t="shared" ref="C16:W16" si="4">SUM(C13:C15)</f>
        <v>966061000</v>
      </c>
      <c r="D16" s="84">
        <f t="shared" si="4"/>
        <v>939445000</v>
      </c>
      <c r="E16" s="84">
        <f t="shared" si="4"/>
        <v>895215000</v>
      </c>
      <c r="F16" s="84">
        <f t="shared" si="4"/>
        <v>894978000</v>
      </c>
      <c r="G16" s="84">
        <f t="shared" si="4"/>
        <v>852381000</v>
      </c>
      <c r="H16" s="84">
        <f t="shared" si="4"/>
        <v>835173000</v>
      </c>
      <c r="I16" s="84">
        <f t="shared" si="4"/>
        <v>813688000</v>
      </c>
      <c r="J16" s="84">
        <f t="shared" si="4"/>
        <v>759072000</v>
      </c>
      <c r="K16" s="84">
        <f t="shared" si="4"/>
        <v>744894000</v>
      </c>
      <c r="L16" s="84">
        <f t="shared" si="4"/>
        <v>764403000</v>
      </c>
      <c r="M16" s="84">
        <f t="shared" si="4"/>
        <v>722165000</v>
      </c>
      <c r="N16" s="84">
        <f t="shared" si="4"/>
        <v>685510000</v>
      </c>
      <c r="O16" s="84">
        <f t="shared" si="4"/>
        <v>692110000</v>
      </c>
      <c r="P16" s="84">
        <f t="shared" si="4"/>
        <v>692209000</v>
      </c>
      <c r="Q16" s="84">
        <f t="shared" si="4"/>
        <v>706068000</v>
      </c>
      <c r="R16" s="84">
        <f t="shared" si="4"/>
        <v>694202000</v>
      </c>
      <c r="S16" s="84">
        <f t="shared" si="4"/>
        <v>695335000</v>
      </c>
      <c r="T16" s="84">
        <f t="shared" si="4"/>
        <v>702968000</v>
      </c>
      <c r="U16" s="84">
        <f t="shared" si="4"/>
        <v>489823000</v>
      </c>
      <c r="V16" s="84">
        <f t="shared" si="4"/>
        <v>455630000</v>
      </c>
      <c r="W16" s="84">
        <f t="shared" si="4"/>
        <v>608013000</v>
      </c>
    </row>
    <row r="18" spans="1:23">
      <c r="A18" s="81"/>
      <c r="B18" s="89"/>
      <c r="C18" s="1907" t="s">
        <v>332</v>
      </c>
      <c r="D18" s="1908"/>
      <c r="E18" s="1908"/>
      <c r="F18" s="1908"/>
      <c r="G18" s="1908"/>
      <c r="H18" s="1908"/>
      <c r="I18" s="1908"/>
      <c r="J18" s="1908"/>
      <c r="K18" s="1908"/>
      <c r="L18" s="1908"/>
      <c r="M18" s="1908"/>
      <c r="N18" s="1908"/>
      <c r="O18" s="1908"/>
      <c r="P18" s="1908"/>
      <c r="Q18" s="1908"/>
      <c r="R18" s="1908"/>
      <c r="S18" s="1908"/>
      <c r="T18" s="1908"/>
      <c r="U18" s="1908"/>
      <c r="V18" s="1908"/>
      <c r="W18" s="1909"/>
    </row>
    <row r="19" spans="1:23">
      <c r="A19" s="81"/>
      <c r="B19" s="81"/>
      <c r="C19" s="82" t="s">
        <v>289</v>
      </c>
      <c r="D19" s="82" t="s">
        <v>290</v>
      </c>
      <c r="E19" s="82" t="s">
        <v>291</v>
      </c>
      <c r="F19" s="82" t="s">
        <v>292</v>
      </c>
      <c r="G19" s="82" t="s">
        <v>293</v>
      </c>
      <c r="H19" s="82" t="s">
        <v>294</v>
      </c>
      <c r="I19" s="82" t="s">
        <v>295</v>
      </c>
      <c r="J19" s="82" t="s">
        <v>296</v>
      </c>
      <c r="K19" s="82" t="s">
        <v>297</v>
      </c>
      <c r="L19" s="82" t="s">
        <v>298</v>
      </c>
      <c r="M19" s="82" t="s">
        <v>299</v>
      </c>
      <c r="N19" s="82" t="s">
        <v>300</v>
      </c>
      <c r="O19" s="82" t="s">
        <v>301</v>
      </c>
      <c r="P19" s="82" t="s">
        <v>302</v>
      </c>
      <c r="Q19" s="82" t="s">
        <v>303</v>
      </c>
      <c r="R19" s="82" t="s">
        <v>304</v>
      </c>
      <c r="S19" s="82" t="s">
        <v>305</v>
      </c>
      <c r="T19" s="82" t="s">
        <v>306</v>
      </c>
      <c r="U19" s="82" t="s">
        <v>307</v>
      </c>
      <c r="V19" s="82" t="s">
        <v>308</v>
      </c>
      <c r="W19" s="82" t="s">
        <v>309</v>
      </c>
    </row>
    <row r="20" spans="1:23">
      <c r="A20" s="82" t="s">
        <v>329</v>
      </c>
      <c r="B20" s="82"/>
      <c r="C20" s="76"/>
      <c r="D20" s="76">
        <f t="shared" ref="D20:W20" si="5">D13-C13</f>
        <v>-8156000</v>
      </c>
      <c r="E20" s="76">
        <f t="shared" si="5"/>
        <v>-949000</v>
      </c>
      <c r="F20" s="76">
        <f t="shared" si="5"/>
        <v>133000</v>
      </c>
      <c r="G20" s="76">
        <f t="shared" si="5"/>
        <v>-2020000</v>
      </c>
      <c r="H20" s="76">
        <f t="shared" si="5"/>
        <v>-1368000</v>
      </c>
      <c r="I20" s="76">
        <f t="shared" si="5"/>
        <v>1674000</v>
      </c>
      <c r="J20" s="76">
        <f t="shared" si="5"/>
        <v>-2077000</v>
      </c>
      <c r="K20" s="76">
        <f t="shared" si="5"/>
        <v>-84000</v>
      </c>
      <c r="L20" s="76">
        <f t="shared" si="5"/>
        <v>948000</v>
      </c>
      <c r="M20" s="76">
        <f t="shared" si="5"/>
        <v>-2833000</v>
      </c>
      <c r="N20" s="76">
        <f t="shared" si="5"/>
        <v>1366000</v>
      </c>
      <c r="O20" s="76">
        <f t="shared" si="5"/>
        <v>3208000</v>
      </c>
      <c r="P20" s="76">
        <f t="shared" si="5"/>
        <v>11294000</v>
      </c>
      <c r="Q20" s="76">
        <f t="shared" si="5"/>
        <v>8963000</v>
      </c>
      <c r="R20" s="76">
        <f t="shared" si="5"/>
        <v>5841000</v>
      </c>
      <c r="S20" s="76">
        <f t="shared" si="5"/>
        <v>2383000</v>
      </c>
      <c r="T20" s="76">
        <f t="shared" si="5"/>
        <v>3667000</v>
      </c>
      <c r="U20" s="76">
        <f t="shared" si="5"/>
        <v>-31843000</v>
      </c>
      <c r="V20" s="76">
        <f t="shared" si="5"/>
        <v>-3232000</v>
      </c>
      <c r="W20" s="76">
        <f t="shared" si="5"/>
        <v>21793000</v>
      </c>
    </row>
    <row r="21" spans="1:23">
      <c r="A21" s="82" t="s">
        <v>330</v>
      </c>
      <c r="B21" s="82" t="s">
        <v>339</v>
      </c>
      <c r="C21" s="76"/>
      <c r="D21" s="76">
        <f t="shared" ref="D21:W21" si="6">D14-C14</f>
        <v>-42907000</v>
      </c>
      <c r="E21" s="76">
        <f t="shared" si="6"/>
        <v>-31934000</v>
      </c>
      <c r="F21" s="76">
        <f t="shared" si="6"/>
        <v>-12316000</v>
      </c>
      <c r="G21" s="76">
        <f t="shared" si="6"/>
        <v>-46186000</v>
      </c>
      <c r="H21" s="76">
        <f t="shared" si="6"/>
        <v>-18633000</v>
      </c>
      <c r="I21" s="76">
        <f t="shared" si="6"/>
        <v>-19118000</v>
      </c>
      <c r="J21" s="76">
        <f t="shared" si="6"/>
        <v>-42377000</v>
      </c>
      <c r="K21" s="76">
        <f t="shared" si="6"/>
        <v>-10425000</v>
      </c>
      <c r="L21" s="76">
        <f t="shared" si="6"/>
        <v>-13138000</v>
      </c>
      <c r="M21" s="76">
        <f t="shared" si="6"/>
        <v>-10351000</v>
      </c>
      <c r="N21" s="76">
        <f t="shared" si="6"/>
        <v>-19105000</v>
      </c>
      <c r="O21" s="76">
        <f t="shared" si="6"/>
        <v>-7861000</v>
      </c>
      <c r="P21" s="76">
        <f t="shared" si="6"/>
        <v>-10087000</v>
      </c>
      <c r="Q21" s="76">
        <f t="shared" si="6"/>
        <v>7019000</v>
      </c>
      <c r="R21" s="76">
        <f t="shared" si="6"/>
        <v>-13463000</v>
      </c>
      <c r="S21" s="76">
        <f t="shared" si="6"/>
        <v>-2998000</v>
      </c>
      <c r="T21" s="76">
        <f t="shared" si="6"/>
        <v>-3847000</v>
      </c>
      <c r="U21" s="76">
        <f t="shared" si="6"/>
        <v>-82553000</v>
      </c>
      <c r="V21" s="76">
        <f t="shared" si="6"/>
        <v>-6507000</v>
      </c>
      <c r="W21" s="76">
        <f t="shared" si="6"/>
        <v>16863000</v>
      </c>
    </row>
    <row r="22" spans="1:23">
      <c r="A22" s="82" t="s">
        <v>110</v>
      </c>
      <c r="B22" s="82"/>
      <c r="C22" s="76"/>
      <c r="D22" s="76">
        <f t="shared" ref="D22:W22" si="7">D15-C15</f>
        <v>24447000</v>
      </c>
      <c r="E22" s="76">
        <f t="shared" si="7"/>
        <v>-11347000</v>
      </c>
      <c r="F22" s="76">
        <f t="shared" si="7"/>
        <v>11946000</v>
      </c>
      <c r="G22" s="76">
        <f t="shared" si="7"/>
        <v>5609000</v>
      </c>
      <c r="H22" s="76">
        <f t="shared" si="7"/>
        <v>2793000</v>
      </c>
      <c r="I22" s="76">
        <f t="shared" si="7"/>
        <v>-4041000</v>
      </c>
      <c r="J22" s="76">
        <f t="shared" si="7"/>
        <v>-10162000</v>
      </c>
      <c r="K22" s="76">
        <f t="shared" si="7"/>
        <v>-3669000</v>
      </c>
      <c r="L22" s="76">
        <f t="shared" si="7"/>
        <v>31699000</v>
      </c>
      <c r="M22" s="76">
        <f t="shared" si="7"/>
        <v>-29054000</v>
      </c>
      <c r="N22" s="76">
        <f t="shared" si="7"/>
        <v>-18916000</v>
      </c>
      <c r="O22" s="76">
        <f t="shared" si="7"/>
        <v>11253000</v>
      </c>
      <c r="P22" s="76">
        <f t="shared" si="7"/>
        <v>-1108000</v>
      </c>
      <c r="Q22" s="76">
        <f t="shared" si="7"/>
        <v>-2123000</v>
      </c>
      <c r="R22" s="76">
        <f t="shared" si="7"/>
        <v>-4244000</v>
      </c>
      <c r="S22" s="76">
        <f t="shared" si="7"/>
        <v>1748000</v>
      </c>
      <c r="T22" s="76">
        <f t="shared" si="7"/>
        <v>7813000</v>
      </c>
      <c r="U22" s="76">
        <f t="shared" si="7"/>
        <v>-98749000</v>
      </c>
      <c r="V22" s="76">
        <f t="shared" si="7"/>
        <v>-24454000</v>
      </c>
      <c r="W22" s="76">
        <f t="shared" si="7"/>
        <v>113727000</v>
      </c>
    </row>
    <row r="23" spans="1:23" s="67" customFormat="1">
      <c r="A23" s="83" t="s">
        <v>203</v>
      </c>
      <c r="B23" s="83"/>
      <c r="C23" s="84"/>
      <c r="D23" s="84">
        <f t="shared" ref="D23:W23" si="8">SUM(D20:D22)</f>
        <v>-26616000</v>
      </c>
      <c r="E23" s="84">
        <f t="shared" si="8"/>
        <v>-44230000</v>
      </c>
      <c r="F23" s="84">
        <f t="shared" si="8"/>
        <v>-237000</v>
      </c>
      <c r="G23" s="84">
        <f t="shared" si="8"/>
        <v>-42597000</v>
      </c>
      <c r="H23" s="84">
        <f t="shared" si="8"/>
        <v>-17208000</v>
      </c>
      <c r="I23" s="84">
        <f t="shared" si="8"/>
        <v>-21485000</v>
      </c>
      <c r="J23" s="84">
        <f t="shared" si="8"/>
        <v>-54616000</v>
      </c>
      <c r="K23" s="84">
        <f t="shared" si="8"/>
        <v>-14178000</v>
      </c>
      <c r="L23" s="84">
        <f t="shared" si="8"/>
        <v>19509000</v>
      </c>
      <c r="M23" s="84">
        <f t="shared" si="8"/>
        <v>-42238000</v>
      </c>
      <c r="N23" s="84">
        <f t="shared" si="8"/>
        <v>-36655000</v>
      </c>
      <c r="O23" s="84">
        <f t="shared" si="8"/>
        <v>6600000</v>
      </c>
      <c r="P23" s="84">
        <f t="shared" si="8"/>
        <v>99000</v>
      </c>
      <c r="Q23" s="84">
        <f t="shared" si="8"/>
        <v>13859000</v>
      </c>
      <c r="R23" s="84">
        <f t="shared" si="8"/>
        <v>-11866000</v>
      </c>
      <c r="S23" s="84">
        <f t="shared" si="8"/>
        <v>1133000</v>
      </c>
      <c r="T23" s="84">
        <f t="shared" si="8"/>
        <v>7633000</v>
      </c>
      <c r="U23" s="84">
        <f t="shared" si="8"/>
        <v>-213145000</v>
      </c>
      <c r="V23" s="84">
        <f t="shared" si="8"/>
        <v>-34193000</v>
      </c>
      <c r="W23" s="84">
        <f t="shared" si="8"/>
        <v>152383000</v>
      </c>
    </row>
    <row r="24" spans="1:23">
      <c r="C24" s="70"/>
      <c r="D24" s="70"/>
      <c r="E24" s="70"/>
      <c r="F24" s="70"/>
      <c r="G24" s="70"/>
      <c r="H24" s="70"/>
      <c r="I24" s="70"/>
      <c r="J24" s="70"/>
      <c r="K24" s="70"/>
      <c r="L24" s="70"/>
      <c r="M24" s="70"/>
      <c r="N24" s="70"/>
      <c r="O24" s="70"/>
      <c r="P24" s="70"/>
      <c r="Q24" s="70"/>
      <c r="R24" s="70"/>
      <c r="S24" s="70"/>
      <c r="T24" s="70"/>
      <c r="U24" s="70"/>
      <c r="V24" s="70"/>
      <c r="W24" s="70"/>
    </row>
    <row r="25" spans="1:23">
      <c r="A25" s="81"/>
      <c r="B25" s="89"/>
      <c r="C25" s="1907" t="s">
        <v>333</v>
      </c>
      <c r="D25" s="1908"/>
      <c r="E25" s="1908"/>
      <c r="F25" s="1908"/>
      <c r="G25" s="1908"/>
      <c r="H25" s="1908"/>
      <c r="I25" s="1908"/>
      <c r="J25" s="1908"/>
      <c r="K25" s="1908"/>
      <c r="L25" s="1908"/>
      <c r="M25" s="1908"/>
      <c r="N25" s="1908"/>
      <c r="O25" s="1908"/>
      <c r="P25" s="1908"/>
      <c r="Q25" s="1908"/>
      <c r="R25" s="1908"/>
      <c r="S25" s="1908"/>
      <c r="T25" s="1908"/>
      <c r="U25" s="1908"/>
      <c r="V25" s="1908"/>
      <c r="W25" s="1909"/>
    </row>
    <row r="26" spans="1:23">
      <c r="A26" s="81"/>
      <c r="B26" s="81"/>
      <c r="C26" s="82" t="s">
        <v>289</v>
      </c>
      <c r="D26" s="82" t="s">
        <v>290</v>
      </c>
      <c r="E26" s="82" t="s">
        <v>291</v>
      </c>
      <c r="F26" s="82" t="s">
        <v>292</v>
      </c>
      <c r="G26" s="82" t="s">
        <v>293</v>
      </c>
      <c r="H26" s="82" t="s">
        <v>294</v>
      </c>
      <c r="I26" s="82" t="s">
        <v>295</v>
      </c>
      <c r="J26" s="82" t="s">
        <v>296</v>
      </c>
      <c r="K26" s="82" t="s">
        <v>297</v>
      </c>
      <c r="L26" s="82" t="s">
        <v>298</v>
      </c>
      <c r="M26" s="82" t="s">
        <v>299</v>
      </c>
      <c r="N26" s="82" t="s">
        <v>300</v>
      </c>
      <c r="O26" s="82" t="s">
        <v>301</v>
      </c>
      <c r="P26" s="82" t="s">
        <v>302</v>
      </c>
      <c r="Q26" s="82" t="s">
        <v>303</v>
      </c>
      <c r="R26" s="82" t="s">
        <v>304</v>
      </c>
      <c r="S26" s="82" t="s">
        <v>305</v>
      </c>
      <c r="T26" s="82" t="s">
        <v>306</v>
      </c>
      <c r="U26" s="82" t="s">
        <v>307</v>
      </c>
      <c r="V26" s="82" t="s">
        <v>308</v>
      </c>
      <c r="W26" s="82" t="s">
        <v>309</v>
      </c>
    </row>
    <row r="27" spans="1:23">
      <c r="A27" s="82" t="s">
        <v>329</v>
      </c>
      <c r="B27" s="82"/>
      <c r="C27" s="76"/>
      <c r="D27" s="77">
        <f t="shared" ref="D27:W27" si="9">D20/C13</f>
        <v>-0.13723708564697965</v>
      </c>
      <c r="E27" s="77">
        <f t="shared" si="9"/>
        <v>-1.8508405819713695E-2</v>
      </c>
      <c r="F27" s="77">
        <f t="shared" si="9"/>
        <v>2.6428216592151018E-3</v>
      </c>
      <c r="G27" s="77">
        <f t="shared" si="9"/>
        <v>-4.0033295017638429E-2</v>
      </c>
      <c r="H27" s="77">
        <f t="shared" si="9"/>
        <v>-2.8242289111854328E-2</v>
      </c>
      <c r="I27" s="77">
        <f t="shared" si="9"/>
        <v>3.5564053537284895E-2</v>
      </c>
      <c r="J27" s="77">
        <f t="shared" si="9"/>
        <v>-4.2610372558673885E-2</v>
      </c>
      <c r="K27" s="77">
        <f t="shared" si="9"/>
        <v>-1.7999871429489789E-3</v>
      </c>
      <c r="L27" s="77">
        <f t="shared" si="9"/>
        <v>2.0350771740763798E-2</v>
      </c>
      <c r="M27" s="77">
        <f t="shared" si="9"/>
        <v>-5.9603206328501399E-2</v>
      </c>
      <c r="N27" s="77">
        <f t="shared" si="9"/>
        <v>3.0560651483287841E-2</v>
      </c>
      <c r="O27" s="77">
        <f t="shared" si="9"/>
        <v>6.9642236887808268E-2</v>
      </c>
      <c r="P27" s="77">
        <f t="shared" si="9"/>
        <v>0.22921740542295826</v>
      </c>
      <c r="Q27" s="77">
        <f t="shared" si="9"/>
        <v>0.14798731961826767</v>
      </c>
      <c r="R27" s="77">
        <f t="shared" si="9"/>
        <v>8.4008111723165871E-2</v>
      </c>
      <c r="S27" s="77">
        <f t="shared" si="9"/>
        <v>3.1617354385033831E-2</v>
      </c>
      <c r="T27" s="77">
        <f t="shared" si="9"/>
        <v>4.7162167376178413E-2</v>
      </c>
      <c r="U27" s="77">
        <f t="shared" si="9"/>
        <v>-0.39109555391795625</v>
      </c>
      <c r="V27" s="77">
        <f t="shared" si="9"/>
        <v>-6.5191520261411548E-2</v>
      </c>
      <c r="W27" s="77">
        <f t="shared" si="9"/>
        <v>0.47023411371237456</v>
      </c>
    </row>
    <row r="28" spans="1:23">
      <c r="A28" s="82" t="s">
        <v>330</v>
      </c>
      <c r="B28" s="82" t="s">
        <v>339</v>
      </c>
      <c r="C28" s="76"/>
      <c r="D28" s="77">
        <f t="shared" ref="D28:W28" si="10">D21/C14</f>
        <v>-7.9958927569775615E-2</v>
      </c>
      <c r="E28" s="77">
        <f t="shared" si="10"/>
        <v>-6.4682219782623673E-2</v>
      </c>
      <c r="F28" s="77">
        <f t="shared" si="10"/>
        <v>-2.6671171054113284E-2</v>
      </c>
      <c r="G28" s="77">
        <f t="shared" si="10"/>
        <v>-0.10275978071268378</v>
      </c>
      <c r="H28" s="77">
        <f t="shared" si="10"/>
        <v>-4.6204775956555165E-2</v>
      </c>
      <c r="I28" s="77">
        <f t="shared" si="10"/>
        <v>-4.9704006634827123E-2</v>
      </c>
      <c r="J28" s="77">
        <f t="shared" si="10"/>
        <v>-0.11593651766392445</v>
      </c>
      <c r="K28" s="77">
        <f t="shared" si="10"/>
        <v>-3.2261358783445049E-2</v>
      </c>
      <c r="L28" s="77">
        <f t="shared" si="10"/>
        <v>-4.2012426570989102E-2</v>
      </c>
      <c r="M28" s="77">
        <f t="shared" si="10"/>
        <v>-3.4551821055547952E-2</v>
      </c>
      <c r="N28" s="77">
        <f t="shared" si="10"/>
        <v>-6.6055153719556892E-2</v>
      </c>
      <c r="O28" s="77">
        <f t="shared" si="10"/>
        <v>-2.9101557438648319E-2</v>
      </c>
      <c r="P28" s="77">
        <f t="shared" si="10"/>
        <v>-3.8461538461538464E-2</v>
      </c>
      <c r="Q28" s="77">
        <f t="shared" si="10"/>
        <v>2.7833845543769206E-2</v>
      </c>
      <c r="R28" s="77">
        <f t="shared" si="10"/>
        <v>-5.1941788775974752E-2</v>
      </c>
      <c r="S28" s="77">
        <f t="shared" si="10"/>
        <v>-1.2200332884332869E-2</v>
      </c>
      <c r="T28" s="77">
        <f t="shared" si="10"/>
        <v>-1.5848689712564836E-2</v>
      </c>
      <c r="U28" s="77">
        <f t="shared" si="10"/>
        <v>-0.34557487671943937</v>
      </c>
      <c r="V28" s="77">
        <f t="shared" si="10"/>
        <v>-4.1622690027057624E-2</v>
      </c>
      <c r="W28" s="77">
        <f t="shared" si="10"/>
        <v>0.11255055864803172</v>
      </c>
    </row>
    <row r="29" spans="1:23">
      <c r="A29" s="82" t="s">
        <v>110</v>
      </c>
      <c r="B29" s="82"/>
      <c r="C29" s="76"/>
      <c r="D29" s="77">
        <f t="shared" ref="D29:W29" si="11">D22/C15</f>
        <v>6.6069758768492345E-2</v>
      </c>
      <c r="E29" s="77">
        <f t="shared" si="11"/>
        <v>-2.8765543204086547E-2</v>
      </c>
      <c r="F29" s="77">
        <f t="shared" si="11"/>
        <v>3.1180993845238283E-2</v>
      </c>
      <c r="G29" s="77">
        <f t="shared" si="11"/>
        <v>1.4197699613227224E-2</v>
      </c>
      <c r="H29" s="77">
        <f t="shared" si="11"/>
        <v>6.9707716766540294E-3</v>
      </c>
      <c r="I29" s="77">
        <f t="shared" si="11"/>
        <v>-1.0015713839580038E-2</v>
      </c>
      <c r="J29" s="77">
        <f t="shared" si="11"/>
        <v>-2.5441572260123928E-2</v>
      </c>
      <c r="K29" s="77">
        <f t="shared" si="11"/>
        <v>-9.425504093633354E-3</v>
      </c>
      <c r="L29" s="77">
        <f t="shared" si="11"/>
        <v>8.2208229381162568E-2</v>
      </c>
      <c r="M29" s="77">
        <f t="shared" si="11"/>
        <v>-6.9624939790506907E-2</v>
      </c>
      <c r="N29" s="77">
        <f t="shared" si="11"/>
        <v>-4.8722565223998621E-2</v>
      </c>
      <c r="O29" s="77">
        <f t="shared" si="11"/>
        <v>3.04692640317554E-2</v>
      </c>
      <c r="P29" s="77">
        <f t="shared" si="11"/>
        <v>-2.9113764399226437E-3</v>
      </c>
      <c r="Q29" s="77">
        <f t="shared" si="11"/>
        <v>-5.5946746497728397E-3</v>
      </c>
      <c r="R29" s="77">
        <f t="shared" si="11"/>
        <v>-1.1247002080324371E-2</v>
      </c>
      <c r="S29" s="77">
        <f t="shared" si="11"/>
        <v>4.6850584694224885E-3</v>
      </c>
      <c r="T29" s="77">
        <f t="shared" si="11"/>
        <v>2.0843059471947371E-2</v>
      </c>
      <c r="U29" s="77">
        <f t="shared" si="11"/>
        <v>-0.25805802509786707</v>
      </c>
      <c r="V29" s="77">
        <f t="shared" si="11"/>
        <v>-8.6132019315776312E-2</v>
      </c>
      <c r="W29" s="77">
        <f t="shared" si="11"/>
        <v>0.43832358869802163</v>
      </c>
    </row>
    <row r="30" spans="1:23" s="67" customFormat="1">
      <c r="A30" s="83" t="s">
        <v>203</v>
      </c>
      <c r="B30" s="83"/>
      <c r="C30" s="84"/>
      <c r="D30" s="78">
        <f t="shared" ref="D30:W30" si="12">D23/C16</f>
        <v>-2.7551055264626145E-2</v>
      </c>
      <c r="E30" s="78">
        <f t="shared" si="12"/>
        <v>-4.7080989307516675E-2</v>
      </c>
      <c r="F30" s="78">
        <f t="shared" si="12"/>
        <v>-2.6474087230441849E-4</v>
      </c>
      <c r="G30" s="78">
        <f t="shared" si="12"/>
        <v>-4.7595583355121582E-2</v>
      </c>
      <c r="H30" s="78">
        <f t="shared" si="12"/>
        <v>-2.0188155296751102E-2</v>
      </c>
      <c r="I30" s="78">
        <f t="shared" si="12"/>
        <v>-2.5725209028548576E-2</v>
      </c>
      <c r="J30" s="78">
        <f t="shared" si="12"/>
        <v>-6.71215502747982E-2</v>
      </c>
      <c r="K30" s="78">
        <f t="shared" si="12"/>
        <v>-1.867807006449981E-2</v>
      </c>
      <c r="L30" s="78">
        <f t="shared" si="12"/>
        <v>2.6190303586819064E-2</v>
      </c>
      <c r="M30" s="78">
        <f t="shared" si="12"/>
        <v>-5.525619339536867E-2</v>
      </c>
      <c r="N30" s="78">
        <f t="shared" si="12"/>
        <v>-5.0757098447030802E-2</v>
      </c>
      <c r="O30" s="78">
        <f t="shared" si="12"/>
        <v>9.6278683024317666E-3</v>
      </c>
      <c r="P30" s="78">
        <f t="shared" si="12"/>
        <v>1.4304084610827758E-4</v>
      </c>
      <c r="Q30" s="78">
        <f t="shared" si="12"/>
        <v>2.0021409718741015E-2</v>
      </c>
      <c r="R30" s="78">
        <f t="shared" si="12"/>
        <v>-1.680574675527003E-2</v>
      </c>
      <c r="S30" s="78">
        <f t="shared" si="12"/>
        <v>1.6320897951892966E-3</v>
      </c>
      <c r="T30" s="78">
        <f t="shared" si="12"/>
        <v>1.0977442527702474E-2</v>
      </c>
      <c r="U30" s="78">
        <f t="shared" si="12"/>
        <v>-0.30320725836737944</v>
      </c>
      <c r="V30" s="78">
        <f t="shared" si="12"/>
        <v>-6.9806848596329699E-2</v>
      </c>
      <c r="W30" s="78">
        <f t="shared" si="12"/>
        <v>0.33444461514825624</v>
      </c>
    </row>
    <row r="34" spans="2:2">
      <c r="B34" s="491"/>
    </row>
    <row r="35" spans="2:2">
      <c r="B35" s="491"/>
    </row>
  </sheetData>
  <mergeCells count="4">
    <mergeCell ref="C4:W4"/>
    <mergeCell ref="C11:W11"/>
    <mergeCell ref="C18:W18"/>
    <mergeCell ref="C25:W25"/>
  </mergeCells>
  <hyperlinks>
    <hyperlink ref="A2" r:id="rId1" location="!/view/sk/VBD_SK_WIN/do1003rs/v_do1003rs_00_00_00_sk" display="https://datacube.statistics.sk/ - !/view/sk/VBD_SK_WIN/do1003rs/v_do1003rs_00_00_00_sk"/>
  </hyperlinks>
  <pageMargins left="0.75" right="0.75" top="1" bottom="1" header="0.5" footer="0.5"/>
  <pageSetup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AB34"/>
  <sheetViews>
    <sheetView showGridLines="0" workbookViewId="0">
      <selection activeCell="E32" sqref="E32"/>
    </sheetView>
  </sheetViews>
  <sheetFormatPr defaultColWidth="8.85546875" defaultRowHeight="12"/>
  <cols>
    <col min="1" max="2" width="19.85546875" style="66" customWidth="1"/>
    <col min="3" max="3" width="12.5703125" style="66" customWidth="1"/>
    <col min="4" max="23" width="10.85546875" style="66" customWidth="1"/>
    <col min="24" max="25" width="8.85546875" style="66" bestFit="1"/>
    <col min="26" max="16384" width="8.85546875" style="66"/>
  </cols>
  <sheetData>
    <row r="1" spans="1:28">
      <c r="A1" s="68" t="s">
        <v>325</v>
      </c>
      <c r="B1" s="68"/>
      <c r="C1" s="68" t="e">
        <f ca="1">_xll.VIEW("VBD_SK_WIN:do1003rs","!","!","!","!",$C$3)</f>
        <v>#NAME?</v>
      </c>
    </row>
    <row r="2" spans="1:28" ht="12.75">
      <c r="A2" s="63" t="s">
        <v>334</v>
      </c>
      <c r="B2" s="63"/>
    </row>
    <row r="3" spans="1:28">
      <c r="A3" s="68" t="s">
        <v>327</v>
      </c>
      <c r="B3" s="68"/>
      <c r="C3" s="68" t="e">
        <f ca="1">_xll.SUBNM("VBD_SK_WIN:do1003rs_data","Data","TXT_VALUE")</f>
        <v>#NAME?</v>
      </c>
    </row>
    <row r="4" spans="1:28" ht="12" customHeight="1">
      <c r="A4" s="81"/>
      <c r="B4" s="81"/>
      <c r="C4" s="1910" t="s">
        <v>335</v>
      </c>
      <c r="D4" s="1910"/>
      <c r="E4" s="1910"/>
      <c r="F4" s="1910"/>
      <c r="G4" s="1910"/>
      <c r="H4" s="1910"/>
      <c r="I4" s="1910"/>
      <c r="J4" s="1910"/>
      <c r="K4" s="1910"/>
      <c r="L4" s="1910"/>
      <c r="M4" s="1910"/>
      <c r="N4" s="1910"/>
      <c r="O4" s="1910"/>
      <c r="P4" s="1910"/>
      <c r="Q4" s="1910"/>
      <c r="R4" s="1910"/>
      <c r="S4" s="1910"/>
      <c r="T4" s="1910"/>
      <c r="U4" s="1910"/>
      <c r="V4" s="1910"/>
      <c r="W4" s="1910"/>
      <c r="X4" s="85"/>
      <c r="Y4" s="85"/>
      <c r="Z4" s="85"/>
      <c r="AA4" s="85"/>
      <c r="AB4" s="85"/>
    </row>
    <row r="5" spans="1:28">
      <c r="A5" s="81"/>
      <c r="B5" s="81"/>
      <c r="C5" s="82" t="s">
        <v>289</v>
      </c>
      <c r="D5" s="82" t="s">
        <v>290</v>
      </c>
      <c r="E5" s="82" t="s">
        <v>291</v>
      </c>
      <c r="F5" s="82" t="s">
        <v>292</v>
      </c>
      <c r="G5" s="82" t="s">
        <v>293</v>
      </c>
      <c r="H5" s="82" t="s">
        <v>294</v>
      </c>
      <c r="I5" s="82" t="s">
        <v>295</v>
      </c>
      <c r="J5" s="82" t="s">
        <v>296</v>
      </c>
      <c r="K5" s="82" t="s">
        <v>297</v>
      </c>
      <c r="L5" s="82" t="s">
        <v>298</v>
      </c>
      <c r="M5" s="82" t="s">
        <v>299</v>
      </c>
      <c r="N5" s="82" t="s">
        <v>300</v>
      </c>
      <c r="O5" s="82" t="s">
        <v>301</v>
      </c>
      <c r="P5" s="82" t="s">
        <v>302</v>
      </c>
      <c r="Q5" s="82" t="s">
        <v>303</v>
      </c>
      <c r="R5" s="82" t="s">
        <v>304</v>
      </c>
      <c r="S5" s="82" t="s">
        <v>305</v>
      </c>
      <c r="T5" s="82" t="s">
        <v>306</v>
      </c>
      <c r="U5" s="82" t="s">
        <v>307</v>
      </c>
      <c r="V5" s="82" t="s">
        <v>308</v>
      </c>
      <c r="W5" s="82" t="s">
        <v>309</v>
      </c>
    </row>
    <row r="6" spans="1:28">
      <c r="A6" s="82" t="s">
        <v>329</v>
      </c>
      <c r="B6" s="82"/>
      <c r="C6" s="73">
        <v>2682</v>
      </c>
      <c r="D6" s="73">
        <v>2316</v>
      </c>
      <c r="E6" s="73">
        <v>2228</v>
      </c>
      <c r="F6" s="73">
        <v>2182</v>
      </c>
      <c r="G6" s="73">
        <v>2213</v>
      </c>
      <c r="H6" s="73">
        <v>2165</v>
      </c>
      <c r="I6" s="73">
        <v>2296</v>
      </c>
      <c r="J6" s="73">
        <v>2264</v>
      </c>
      <c r="K6" s="73">
        <v>2309</v>
      </c>
      <c r="L6" s="73">
        <v>2431</v>
      </c>
      <c r="M6" s="73">
        <v>2459</v>
      </c>
      <c r="N6" s="73">
        <v>2485</v>
      </c>
      <c r="O6" s="73">
        <v>2583</v>
      </c>
      <c r="P6" s="73">
        <v>3411</v>
      </c>
      <c r="Q6" s="73">
        <v>3595</v>
      </c>
      <c r="R6" s="73">
        <v>3873</v>
      </c>
      <c r="S6" s="73">
        <v>3915</v>
      </c>
      <c r="T6" s="73">
        <v>4093</v>
      </c>
      <c r="U6" s="73">
        <v>2180</v>
      </c>
      <c r="V6" s="73">
        <v>2052</v>
      </c>
      <c r="W6" s="73">
        <v>3354</v>
      </c>
    </row>
    <row r="7" spans="1:28">
      <c r="A7" s="82" t="s">
        <v>330</v>
      </c>
      <c r="B7" s="82" t="s">
        <v>367</v>
      </c>
      <c r="C7" s="73">
        <v>8236</v>
      </c>
      <c r="D7" s="73">
        <v>7757</v>
      </c>
      <c r="E7" s="73">
        <v>7882</v>
      </c>
      <c r="F7" s="73">
        <v>7525</v>
      </c>
      <c r="G7" s="73">
        <v>7665</v>
      </c>
      <c r="H7" s="73">
        <v>7596</v>
      </c>
      <c r="I7" s="73">
        <v>6446</v>
      </c>
      <c r="J7" s="73">
        <v>4538</v>
      </c>
      <c r="K7" s="73">
        <v>4436</v>
      </c>
      <c r="L7" s="73">
        <v>4611</v>
      </c>
      <c r="M7" s="73">
        <v>4584</v>
      </c>
      <c r="N7" s="73">
        <v>4388</v>
      </c>
      <c r="O7" s="73">
        <v>4495</v>
      </c>
      <c r="P7" s="73">
        <v>4499</v>
      </c>
      <c r="Q7" s="73">
        <v>4996</v>
      </c>
      <c r="R7" s="73">
        <v>5060</v>
      </c>
      <c r="S7" s="73">
        <v>5394</v>
      </c>
      <c r="T7" s="73">
        <v>5381</v>
      </c>
      <c r="U7" s="73">
        <v>3138</v>
      </c>
      <c r="V7" s="73">
        <v>2684</v>
      </c>
      <c r="W7" s="73">
        <v>3302</v>
      </c>
    </row>
    <row r="8" spans="1:28">
      <c r="A8" s="82" t="s">
        <v>110</v>
      </c>
      <c r="B8" s="82"/>
      <c r="C8" s="73">
        <v>1371</v>
      </c>
      <c r="D8" s="73">
        <v>1384</v>
      </c>
      <c r="E8" s="73">
        <v>1330</v>
      </c>
      <c r="F8" s="73">
        <v>1399</v>
      </c>
      <c r="G8" s="73">
        <v>1403</v>
      </c>
      <c r="H8" s="73">
        <v>1451</v>
      </c>
      <c r="I8" s="73">
        <v>1370</v>
      </c>
      <c r="J8" s="73">
        <v>1127</v>
      </c>
      <c r="K8" s="73">
        <v>1119</v>
      </c>
      <c r="L8" s="73">
        <v>1172</v>
      </c>
      <c r="M8" s="73">
        <v>1137</v>
      </c>
      <c r="N8" s="73">
        <v>1145</v>
      </c>
      <c r="O8" s="73">
        <v>1115</v>
      </c>
      <c r="P8" s="73">
        <v>1119</v>
      </c>
      <c r="Q8" s="73">
        <v>1197</v>
      </c>
      <c r="R8" s="73">
        <v>1289</v>
      </c>
      <c r="S8" s="73">
        <v>1299</v>
      </c>
      <c r="T8" s="73">
        <v>1327</v>
      </c>
      <c r="U8" s="73">
        <v>981</v>
      </c>
      <c r="V8" s="73">
        <v>931</v>
      </c>
      <c r="W8" s="73">
        <v>1552</v>
      </c>
    </row>
    <row r="9" spans="1:28" s="67" customFormat="1">
      <c r="A9" s="83" t="s">
        <v>203</v>
      </c>
      <c r="B9" s="83"/>
      <c r="C9" s="84">
        <f t="shared" ref="C9:W9" si="0">SUM(C6:C8)</f>
        <v>12289</v>
      </c>
      <c r="D9" s="84">
        <f t="shared" si="0"/>
        <v>11457</v>
      </c>
      <c r="E9" s="84">
        <f t="shared" si="0"/>
        <v>11440</v>
      </c>
      <c r="F9" s="84">
        <f t="shared" si="0"/>
        <v>11106</v>
      </c>
      <c r="G9" s="84">
        <f t="shared" si="0"/>
        <v>11281</v>
      </c>
      <c r="H9" s="84">
        <f t="shared" si="0"/>
        <v>11212</v>
      </c>
      <c r="I9" s="84">
        <f t="shared" si="0"/>
        <v>10112</v>
      </c>
      <c r="J9" s="84">
        <f t="shared" si="0"/>
        <v>7929</v>
      </c>
      <c r="K9" s="84">
        <f t="shared" si="0"/>
        <v>7864</v>
      </c>
      <c r="L9" s="84">
        <f t="shared" si="0"/>
        <v>8214</v>
      </c>
      <c r="M9" s="84">
        <f t="shared" si="0"/>
        <v>8180</v>
      </c>
      <c r="N9" s="84">
        <f t="shared" si="0"/>
        <v>8018</v>
      </c>
      <c r="O9" s="84">
        <f t="shared" si="0"/>
        <v>8193</v>
      </c>
      <c r="P9" s="84">
        <f t="shared" si="0"/>
        <v>9029</v>
      </c>
      <c r="Q9" s="84">
        <f t="shared" si="0"/>
        <v>9788</v>
      </c>
      <c r="R9" s="84">
        <f t="shared" si="0"/>
        <v>10222</v>
      </c>
      <c r="S9" s="84">
        <f t="shared" si="0"/>
        <v>10608</v>
      </c>
      <c r="T9" s="84">
        <f t="shared" si="0"/>
        <v>10801</v>
      </c>
      <c r="U9" s="84">
        <f t="shared" si="0"/>
        <v>6299</v>
      </c>
      <c r="V9" s="84">
        <f t="shared" si="0"/>
        <v>5667</v>
      </c>
      <c r="W9" s="84">
        <f t="shared" si="0"/>
        <v>8208</v>
      </c>
    </row>
    <row r="11" spans="1:28">
      <c r="A11" s="81"/>
      <c r="B11" s="81"/>
      <c r="C11" s="1910" t="s">
        <v>336</v>
      </c>
      <c r="D11" s="1910"/>
      <c r="E11" s="1910"/>
      <c r="F11" s="1910"/>
      <c r="G11" s="1910"/>
      <c r="H11" s="1910"/>
      <c r="I11" s="1910"/>
      <c r="J11" s="1910"/>
      <c r="K11" s="1910"/>
      <c r="L11" s="1910"/>
      <c r="M11" s="1910"/>
      <c r="N11" s="1910"/>
      <c r="O11" s="1910"/>
      <c r="P11" s="1910"/>
      <c r="Q11" s="1910"/>
      <c r="R11" s="1910"/>
      <c r="S11" s="1910"/>
      <c r="T11" s="1910"/>
      <c r="U11" s="1910"/>
      <c r="V11" s="1910"/>
      <c r="W11" s="1910"/>
    </row>
    <row r="12" spans="1:28">
      <c r="A12" s="81"/>
      <c r="B12" s="81"/>
      <c r="C12" s="82" t="s">
        <v>289</v>
      </c>
      <c r="D12" s="82" t="s">
        <v>290</v>
      </c>
      <c r="E12" s="82" t="s">
        <v>291</v>
      </c>
      <c r="F12" s="82" t="s">
        <v>292</v>
      </c>
      <c r="G12" s="82" t="s">
        <v>293</v>
      </c>
      <c r="H12" s="82" t="s">
        <v>294</v>
      </c>
      <c r="I12" s="82" t="s">
        <v>295</v>
      </c>
      <c r="J12" s="82" t="s">
        <v>296</v>
      </c>
      <c r="K12" s="82" t="s">
        <v>297</v>
      </c>
      <c r="L12" s="82" t="s">
        <v>298</v>
      </c>
      <c r="M12" s="82" t="s">
        <v>299</v>
      </c>
      <c r="N12" s="82" t="s">
        <v>300</v>
      </c>
      <c r="O12" s="82" t="s">
        <v>301</v>
      </c>
      <c r="P12" s="82" t="s">
        <v>302</v>
      </c>
      <c r="Q12" s="82" t="s">
        <v>303</v>
      </c>
      <c r="R12" s="82" t="s">
        <v>304</v>
      </c>
      <c r="S12" s="82" t="s">
        <v>305</v>
      </c>
      <c r="T12" s="82" t="s">
        <v>306</v>
      </c>
      <c r="U12" s="82" t="s">
        <v>307</v>
      </c>
      <c r="V12" s="82" t="s">
        <v>308</v>
      </c>
      <c r="W12" s="82" t="s">
        <v>309</v>
      </c>
    </row>
    <row r="13" spans="1:28">
      <c r="A13" s="82" t="s">
        <v>329</v>
      </c>
      <c r="B13" s="82"/>
      <c r="C13" s="79">
        <f t="shared" ref="C13:W13" si="1">C6*1000000</f>
        <v>2682000000</v>
      </c>
      <c r="D13" s="79">
        <f t="shared" si="1"/>
        <v>2316000000</v>
      </c>
      <c r="E13" s="79">
        <f t="shared" si="1"/>
        <v>2228000000</v>
      </c>
      <c r="F13" s="79">
        <f t="shared" si="1"/>
        <v>2182000000</v>
      </c>
      <c r="G13" s="79">
        <f t="shared" si="1"/>
        <v>2213000000</v>
      </c>
      <c r="H13" s="79">
        <f t="shared" si="1"/>
        <v>2165000000</v>
      </c>
      <c r="I13" s="79">
        <f t="shared" si="1"/>
        <v>2296000000</v>
      </c>
      <c r="J13" s="79">
        <f t="shared" si="1"/>
        <v>2264000000</v>
      </c>
      <c r="K13" s="79">
        <f t="shared" si="1"/>
        <v>2309000000</v>
      </c>
      <c r="L13" s="79">
        <f t="shared" si="1"/>
        <v>2431000000</v>
      </c>
      <c r="M13" s="79">
        <f t="shared" si="1"/>
        <v>2459000000</v>
      </c>
      <c r="N13" s="79">
        <f t="shared" si="1"/>
        <v>2485000000</v>
      </c>
      <c r="O13" s="79">
        <f t="shared" si="1"/>
        <v>2583000000</v>
      </c>
      <c r="P13" s="79">
        <f t="shared" si="1"/>
        <v>3411000000</v>
      </c>
      <c r="Q13" s="79">
        <f t="shared" si="1"/>
        <v>3595000000</v>
      </c>
      <c r="R13" s="79">
        <f t="shared" si="1"/>
        <v>3873000000</v>
      </c>
      <c r="S13" s="79">
        <f t="shared" si="1"/>
        <v>3915000000</v>
      </c>
      <c r="T13" s="79">
        <f t="shared" si="1"/>
        <v>4093000000</v>
      </c>
      <c r="U13" s="79">
        <f t="shared" si="1"/>
        <v>2180000000</v>
      </c>
      <c r="V13" s="79">
        <f t="shared" si="1"/>
        <v>2052000000</v>
      </c>
      <c r="W13" s="79">
        <f t="shared" si="1"/>
        <v>3354000000</v>
      </c>
    </row>
    <row r="14" spans="1:28">
      <c r="A14" s="82" t="s">
        <v>330</v>
      </c>
      <c r="B14" s="82" t="s">
        <v>367</v>
      </c>
      <c r="C14" s="79">
        <f t="shared" ref="C14:W14" si="2">C7*1000000</f>
        <v>8236000000</v>
      </c>
      <c r="D14" s="79">
        <f t="shared" si="2"/>
        <v>7757000000</v>
      </c>
      <c r="E14" s="79">
        <f t="shared" si="2"/>
        <v>7882000000</v>
      </c>
      <c r="F14" s="79">
        <f t="shared" si="2"/>
        <v>7525000000</v>
      </c>
      <c r="G14" s="79">
        <f t="shared" si="2"/>
        <v>7665000000</v>
      </c>
      <c r="H14" s="79">
        <f t="shared" si="2"/>
        <v>7596000000</v>
      </c>
      <c r="I14" s="79">
        <f t="shared" si="2"/>
        <v>6446000000</v>
      </c>
      <c r="J14" s="79">
        <f t="shared" si="2"/>
        <v>4538000000</v>
      </c>
      <c r="K14" s="79">
        <f t="shared" si="2"/>
        <v>4436000000</v>
      </c>
      <c r="L14" s="79">
        <f t="shared" si="2"/>
        <v>4611000000</v>
      </c>
      <c r="M14" s="79">
        <f t="shared" si="2"/>
        <v>4584000000</v>
      </c>
      <c r="N14" s="79">
        <f t="shared" si="2"/>
        <v>4388000000</v>
      </c>
      <c r="O14" s="79">
        <f t="shared" si="2"/>
        <v>4495000000</v>
      </c>
      <c r="P14" s="79">
        <f t="shared" si="2"/>
        <v>4499000000</v>
      </c>
      <c r="Q14" s="79">
        <f t="shared" si="2"/>
        <v>4996000000</v>
      </c>
      <c r="R14" s="79">
        <f t="shared" si="2"/>
        <v>5060000000</v>
      </c>
      <c r="S14" s="79">
        <f t="shared" si="2"/>
        <v>5394000000</v>
      </c>
      <c r="T14" s="79">
        <f t="shared" si="2"/>
        <v>5381000000</v>
      </c>
      <c r="U14" s="79">
        <f t="shared" si="2"/>
        <v>3138000000</v>
      </c>
      <c r="V14" s="79">
        <f t="shared" si="2"/>
        <v>2684000000</v>
      </c>
      <c r="W14" s="79">
        <f t="shared" si="2"/>
        <v>3302000000</v>
      </c>
    </row>
    <row r="15" spans="1:28">
      <c r="A15" s="82" t="s">
        <v>110</v>
      </c>
      <c r="B15" s="82"/>
      <c r="C15" s="79">
        <f t="shared" ref="C15:W15" si="3">C8*1000000</f>
        <v>1371000000</v>
      </c>
      <c r="D15" s="79">
        <f t="shared" si="3"/>
        <v>1384000000</v>
      </c>
      <c r="E15" s="79">
        <f t="shared" si="3"/>
        <v>1330000000</v>
      </c>
      <c r="F15" s="79">
        <f t="shared" si="3"/>
        <v>1399000000</v>
      </c>
      <c r="G15" s="79">
        <f t="shared" si="3"/>
        <v>1403000000</v>
      </c>
      <c r="H15" s="79">
        <f t="shared" si="3"/>
        <v>1451000000</v>
      </c>
      <c r="I15" s="79">
        <f t="shared" si="3"/>
        <v>1370000000</v>
      </c>
      <c r="J15" s="79">
        <f t="shared" si="3"/>
        <v>1127000000</v>
      </c>
      <c r="K15" s="79">
        <f t="shared" si="3"/>
        <v>1119000000</v>
      </c>
      <c r="L15" s="79">
        <f t="shared" si="3"/>
        <v>1172000000</v>
      </c>
      <c r="M15" s="79">
        <f t="shared" si="3"/>
        <v>1137000000</v>
      </c>
      <c r="N15" s="79">
        <f t="shared" si="3"/>
        <v>1145000000</v>
      </c>
      <c r="O15" s="79">
        <f t="shared" si="3"/>
        <v>1115000000</v>
      </c>
      <c r="P15" s="79">
        <f t="shared" si="3"/>
        <v>1119000000</v>
      </c>
      <c r="Q15" s="79">
        <f t="shared" si="3"/>
        <v>1197000000</v>
      </c>
      <c r="R15" s="79">
        <f t="shared" si="3"/>
        <v>1289000000</v>
      </c>
      <c r="S15" s="79">
        <f t="shared" si="3"/>
        <v>1299000000</v>
      </c>
      <c r="T15" s="79">
        <f t="shared" si="3"/>
        <v>1327000000</v>
      </c>
      <c r="U15" s="79">
        <f t="shared" si="3"/>
        <v>981000000</v>
      </c>
      <c r="V15" s="79">
        <f t="shared" si="3"/>
        <v>931000000</v>
      </c>
      <c r="W15" s="79">
        <f t="shared" si="3"/>
        <v>1552000000</v>
      </c>
    </row>
    <row r="16" spans="1:28" s="67" customFormat="1">
      <c r="A16" s="83" t="s">
        <v>203</v>
      </c>
      <c r="B16" s="83"/>
      <c r="C16" s="84">
        <f t="shared" ref="C16:W16" si="4">SUM(C13:C15)</f>
        <v>12289000000</v>
      </c>
      <c r="D16" s="84">
        <f t="shared" si="4"/>
        <v>11457000000</v>
      </c>
      <c r="E16" s="84">
        <f t="shared" si="4"/>
        <v>11440000000</v>
      </c>
      <c r="F16" s="84">
        <f t="shared" si="4"/>
        <v>11106000000</v>
      </c>
      <c r="G16" s="84">
        <f t="shared" si="4"/>
        <v>11281000000</v>
      </c>
      <c r="H16" s="84">
        <f t="shared" si="4"/>
        <v>11212000000</v>
      </c>
      <c r="I16" s="84">
        <f t="shared" si="4"/>
        <v>10112000000</v>
      </c>
      <c r="J16" s="84">
        <f t="shared" si="4"/>
        <v>7929000000</v>
      </c>
      <c r="K16" s="84">
        <f t="shared" si="4"/>
        <v>7864000000</v>
      </c>
      <c r="L16" s="84">
        <f t="shared" si="4"/>
        <v>8214000000</v>
      </c>
      <c r="M16" s="84">
        <f t="shared" si="4"/>
        <v>8180000000</v>
      </c>
      <c r="N16" s="84">
        <f t="shared" si="4"/>
        <v>8018000000</v>
      </c>
      <c r="O16" s="84">
        <f t="shared" si="4"/>
        <v>8193000000</v>
      </c>
      <c r="P16" s="84">
        <f t="shared" si="4"/>
        <v>9029000000</v>
      </c>
      <c r="Q16" s="84">
        <f t="shared" si="4"/>
        <v>9788000000</v>
      </c>
      <c r="R16" s="84">
        <f t="shared" si="4"/>
        <v>10222000000</v>
      </c>
      <c r="S16" s="84">
        <f t="shared" si="4"/>
        <v>10608000000</v>
      </c>
      <c r="T16" s="84">
        <f t="shared" si="4"/>
        <v>10801000000</v>
      </c>
      <c r="U16" s="84">
        <f t="shared" si="4"/>
        <v>6299000000</v>
      </c>
      <c r="V16" s="84">
        <f t="shared" si="4"/>
        <v>5667000000</v>
      </c>
      <c r="W16" s="84">
        <f t="shared" si="4"/>
        <v>8208000000</v>
      </c>
    </row>
    <row r="18" spans="1:23">
      <c r="A18" s="81"/>
      <c r="B18" s="81"/>
      <c r="C18" s="1910" t="s">
        <v>337</v>
      </c>
      <c r="D18" s="1910"/>
      <c r="E18" s="1910"/>
      <c r="F18" s="1910"/>
      <c r="G18" s="1910"/>
      <c r="H18" s="1910"/>
      <c r="I18" s="1910"/>
      <c r="J18" s="1910"/>
      <c r="K18" s="1910"/>
      <c r="L18" s="1910"/>
      <c r="M18" s="1910"/>
      <c r="N18" s="1910"/>
      <c r="O18" s="1910"/>
      <c r="P18" s="1910"/>
      <c r="Q18" s="1910"/>
      <c r="R18" s="1910"/>
      <c r="S18" s="1910"/>
      <c r="T18" s="1910"/>
      <c r="U18" s="1910"/>
      <c r="V18" s="1910"/>
      <c r="W18" s="1910"/>
    </row>
    <row r="19" spans="1:23">
      <c r="A19" s="81"/>
      <c r="B19" s="81"/>
      <c r="C19" s="82" t="s">
        <v>289</v>
      </c>
      <c r="D19" s="82" t="s">
        <v>290</v>
      </c>
      <c r="E19" s="82" t="s">
        <v>291</v>
      </c>
      <c r="F19" s="82" t="s">
        <v>292</v>
      </c>
      <c r="G19" s="82" t="s">
        <v>293</v>
      </c>
      <c r="H19" s="82" t="s">
        <v>294</v>
      </c>
      <c r="I19" s="82" t="s">
        <v>295</v>
      </c>
      <c r="J19" s="82" t="s">
        <v>296</v>
      </c>
      <c r="K19" s="82" t="s">
        <v>297</v>
      </c>
      <c r="L19" s="82" t="s">
        <v>298</v>
      </c>
      <c r="M19" s="82" t="s">
        <v>299</v>
      </c>
      <c r="N19" s="82" t="s">
        <v>300</v>
      </c>
      <c r="O19" s="82" t="s">
        <v>301</v>
      </c>
      <c r="P19" s="82" t="s">
        <v>302</v>
      </c>
      <c r="Q19" s="82" t="s">
        <v>303</v>
      </c>
      <c r="R19" s="82" t="s">
        <v>304</v>
      </c>
      <c r="S19" s="82" t="s">
        <v>305</v>
      </c>
      <c r="T19" s="82" t="s">
        <v>306</v>
      </c>
      <c r="U19" s="82" t="s">
        <v>307</v>
      </c>
      <c r="V19" s="82" t="s">
        <v>308</v>
      </c>
      <c r="W19" s="82" t="s">
        <v>309</v>
      </c>
    </row>
    <row r="20" spans="1:23">
      <c r="A20" s="82" t="s">
        <v>329</v>
      </c>
      <c r="B20" s="82"/>
      <c r="C20" s="76"/>
      <c r="D20" s="76">
        <f t="shared" ref="D20:W20" si="5">D13-C13</f>
        <v>-366000000</v>
      </c>
      <c r="E20" s="76">
        <f t="shared" si="5"/>
        <v>-88000000</v>
      </c>
      <c r="F20" s="76">
        <f t="shared" si="5"/>
        <v>-46000000</v>
      </c>
      <c r="G20" s="76">
        <f t="shared" si="5"/>
        <v>31000000</v>
      </c>
      <c r="H20" s="76">
        <f t="shared" si="5"/>
        <v>-48000000</v>
      </c>
      <c r="I20" s="76">
        <f t="shared" si="5"/>
        <v>131000000</v>
      </c>
      <c r="J20" s="76">
        <f t="shared" si="5"/>
        <v>-32000000</v>
      </c>
      <c r="K20" s="76">
        <f t="shared" si="5"/>
        <v>45000000</v>
      </c>
      <c r="L20" s="76">
        <f t="shared" si="5"/>
        <v>122000000</v>
      </c>
      <c r="M20" s="76">
        <f t="shared" si="5"/>
        <v>28000000</v>
      </c>
      <c r="N20" s="76">
        <f t="shared" si="5"/>
        <v>26000000</v>
      </c>
      <c r="O20" s="76">
        <f t="shared" si="5"/>
        <v>98000000</v>
      </c>
      <c r="P20" s="76">
        <f t="shared" si="5"/>
        <v>828000000</v>
      </c>
      <c r="Q20" s="76">
        <f t="shared" si="5"/>
        <v>184000000</v>
      </c>
      <c r="R20" s="76">
        <f t="shared" si="5"/>
        <v>278000000</v>
      </c>
      <c r="S20" s="76">
        <f t="shared" si="5"/>
        <v>42000000</v>
      </c>
      <c r="T20" s="76">
        <f t="shared" si="5"/>
        <v>178000000</v>
      </c>
      <c r="U20" s="76">
        <f t="shared" si="5"/>
        <v>-1913000000</v>
      </c>
      <c r="V20" s="76">
        <f t="shared" si="5"/>
        <v>-128000000</v>
      </c>
      <c r="W20" s="76">
        <f t="shared" si="5"/>
        <v>1302000000</v>
      </c>
    </row>
    <row r="21" spans="1:23">
      <c r="A21" s="82" t="s">
        <v>330</v>
      </c>
      <c r="B21" s="82" t="s">
        <v>367</v>
      </c>
      <c r="C21" s="76"/>
      <c r="D21" s="76">
        <f t="shared" ref="D21:W21" si="6">D14-C14</f>
        <v>-479000000</v>
      </c>
      <c r="E21" s="76">
        <f t="shared" si="6"/>
        <v>125000000</v>
      </c>
      <c r="F21" s="76">
        <f t="shared" si="6"/>
        <v>-357000000</v>
      </c>
      <c r="G21" s="76">
        <f t="shared" si="6"/>
        <v>140000000</v>
      </c>
      <c r="H21" s="76">
        <f t="shared" si="6"/>
        <v>-69000000</v>
      </c>
      <c r="I21" s="76">
        <f t="shared" si="6"/>
        <v>-1150000000</v>
      </c>
      <c r="J21" s="76">
        <f t="shared" si="6"/>
        <v>-1908000000</v>
      </c>
      <c r="K21" s="76">
        <f t="shared" si="6"/>
        <v>-102000000</v>
      </c>
      <c r="L21" s="76">
        <f t="shared" si="6"/>
        <v>175000000</v>
      </c>
      <c r="M21" s="76">
        <f t="shared" si="6"/>
        <v>-27000000</v>
      </c>
      <c r="N21" s="76">
        <f t="shared" si="6"/>
        <v>-196000000</v>
      </c>
      <c r="O21" s="76">
        <f t="shared" si="6"/>
        <v>107000000</v>
      </c>
      <c r="P21" s="76">
        <f t="shared" si="6"/>
        <v>4000000</v>
      </c>
      <c r="Q21" s="76">
        <f t="shared" si="6"/>
        <v>497000000</v>
      </c>
      <c r="R21" s="76">
        <f t="shared" si="6"/>
        <v>64000000</v>
      </c>
      <c r="S21" s="76">
        <f t="shared" si="6"/>
        <v>334000000</v>
      </c>
      <c r="T21" s="76">
        <f t="shared" si="6"/>
        <v>-13000000</v>
      </c>
      <c r="U21" s="76">
        <f t="shared" si="6"/>
        <v>-2243000000</v>
      </c>
      <c r="V21" s="76">
        <f t="shared" si="6"/>
        <v>-454000000</v>
      </c>
      <c r="W21" s="76">
        <f t="shared" si="6"/>
        <v>618000000</v>
      </c>
    </row>
    <row r="22" spans="1:23">
      <c r="A22" s="82" t="s">
        <v>110</v>
      </c>
      <c r="B22" s="82"/>
      <c r="C22" s="76"/>
      <c r="D22" s="76">
        <f t="shared" ref="D22:W22" si="7">D15-C15</f>
        <v>13000000</v>
      </c>
      <c r="E22" s="76">
        <f t="shared" si="7"/>
        <v>-54000000</v>
      </c>
      <c r="F22" s="76">
        <f t="shared" si="7"/>
        <v>69000000</v>
      </c>
      <c r="G22" s="76">
        <f t="shared" si="7"/>
        <v>4000000</v>
      </c>
      <c r="H22" s="76">
        <f t="shared" si="7"/>
        <v>48000000</v>
      </c>
      <c r="I22" s="76">
        <f t="shared" si="7"/>
        <v>-81000000</v>
      </c>
      <c r="J22" s="76">
        <f t="shared" si="7"/>
        <v>-243000000</v>
      </c>
      <c r="K22" s="76">
        <f t="shared" si="7"/>
        <v>-8000000</v>
      </c>
      <c r="L22" s="76">
        <f t="shared" si="7"/>
        <v>53000000</v>
      </c>
      <c r="M22" s="76">
        <f t="shared" si="7"/>
        <v>-35000000</v>
      </c>
      <c r="N22" s="76">
        <f t="shared" si="7"/>
        <v>8000000</v>
      </c>
      <c r="O22" s="76">
        <f t="shared" si="7"/>
        <v>-30000000</v>
      </c>
      <c r="P22" s="76">
        <f t="shared" si="7"/>
        <v>4000000</v>
      </c>
      <c r="Q22" s="76">
        <f t="shared" si="7"/>
        <v>78000000</v>
      </c>
      <c r="R22" s="76">
        <f t="shared" si="7"/>
        <v>92000000</v>
      </c>
      <c r="S22" s="76">
        <f t="shared" si="7"/>
        <v>10000000</v>
      </c>
      <c r="T22" s="76">
        <f t="shared" si="7"/>
        <v>28000000</v>
      </c>
      <c r="U22" s="76">
        <f t="shared" si="7"/>
        <v>-346000000</v>
      </c>
      <c r="V22" s="76">
        <f t="shared" si="7"/>
        <v>-50000000</v>
      </c>
      <c r="W22" s="76">
        <f t="shared" si="7"/>
        <v>621000000</v>
      </c>
    </row>
    <row r="23" spans="1:23" s="67" customFormat="1">
      <c r="A23" s="83" t="s">
        <v>203</v>
      </c>
      <c r="B23" s="83"/>
      <c r="C23" s="84"/>
      <c r="D23" s="84">
        <f t="shared" ref="D23:W23" si="8">SUM(D20:D22)</f>
        <v>-832000000</v>
      </c>
      <c r="E23" s="84">
        <f t="shared" si="8"/>
        <v>-17000000</v>
      </c>
      <c r="F23" s="84">
        <f t="shared" si="8"/>
        <v>-334000000</v>
      </c>
      <c r="G23" s="84">
        <f t="shared" si="8"/>
        <v>175000000</v>
      </c>
      <c r="H23" s="84">
        <f t="shared" si="8"/>
        <v>-69000000</v>
      </c>
      <c r="I23" s="84">
        <f t="shared" si="8"/>
        <v>-1100000000</v>
      </c>
      <c r="J23" s="84">
        <f t="shared" si="8"/>
        <v>-2183000000</v>
      </c>
      <c r="K23" s="84">
        <f t="shared" si="8"/>
        <v>-65000000</v>
      </c>
      <c r="L23" s="84">
        <f t="shared" si="8"/>
        <v>350000000</v>
      </c>
      <c r="M23" s="84">
        <f t="shared" si="8"/>
        <v>-34000000</v>
      </c>
      <c r="N23" s="84">
        <f t="shared" si="8"/>
        <v>-162000000</v>
      </c>
      <c r="O23" s="84">
        <f t="shared" si="8"/>
        <v>175000000</v>
      </c>
      <c r="P23" s="84">
        <f t="shared" si="8"/>
        <v>836000000</v>
      </c>
      <c r="Q23" s="84">
        <f t="shared" si="8"/>
        <v>759000000</v>
      </c>
      <c r="R23" s="84">
        <f t="shared" si="8"/>
        <v>434000000</v>
      </c>
      <c r="S23" s="84">
        <f t="shared" si="8"/>
        <v>386000000</v>
      </c>
      <c r="T23" s="84">
        <f t="shared" si="8"/>
        <v>193000000</v>
      </c>
      <c r="U23" s="84">
        <f t="shared" si="8"/>
        <v>-4502000000</v>
      </c>
      <c r="V23" s="84">
        <f t="shared" si="8"/>
        <v>-632000000</v>
      </c>
      <c r="W23" s="84">
        <f t="shared" si="8"/>
        <v>2541000000</v>
      </c>
    </row>
    <row r="24" spans="1:23">
      <c r="C24" s="70"/>
      <c r="D24" s="70"/>
      <c r="E24" s="70"/>
      <c r="F24" s="70"/>
      <c r="G24" s="70"/>
      <c r="H24" s="70"/>
      <c r="I24" s="70"/>
      <c r="J24" s="70"/>
      <c r="K24" s="70"/>
      <c r="L24" s="70"/>
      <c r="M24" s="70"/>
      <c r="N24" s="70"/>
      <c r="O24" s="70"/>
      <c r="P24" s="70"/>
      <c r="Q24" s="70"/>
      <c r="R24" s="70"/>
      <c r="S24" s="70"/>
      <c r="T24" s="70"/>
      <c r="U24" s="70"/>
      <c r="V24" s="70"/>
      <c r="W24" s="70"/>
    </row>
    <row r="25" spans="1:23">
      <c r="A25" s="81"/>
      <c r="B25" s="81"/>
      <c r="C25" s="1910" t="s">
        <v>338</v>
      </c>
      <c r="D25" s="1910"/>
      <c r="E25" s="1910"/>
      <c r="F25" s="1910"/>
      <c r="G25" s="1910"/>
      <c r="H25" s="1910"/>
      <c r="I25" s="1910"/>
      <c r="J25" s="1910"/>
      <c r="K25" s="1910"/>
      <c r="L25" s="1910"/>
      <c r="M25" s="1910"/>
      <c r="N25" s="1910"/>
      <c r="O25" s="1910"/>
      <c r="P25" s="1910"/>
      <c r="Q25" s="1910"/>
      <c r="R25" s="1910"/>
      <c r="S25" s="1910"/>
      <c r="T25" s="1910"/>
      <c r="U25" s="1910"/>
      <c r="V25" s="1910"/>
      <c r="W25" s="1910"/>
    </row>
    <row r="26" spans="1:23">
      <c r="A26" s="81"/>
      <c r="B26" s="81"/>
      <c r="C26" s="82" t="s">
        <v>289</v>
      </c>
      <c r="D26" s="82" t="s">
        <v>290</v>
      </c>
      <c r="E26" s="82" t="s">
        <v>291</v>
      </c>
      <c r="F26" s="82" t="s">
        <v>292</v>
      </c>
      <c r="G26" s="82" t="s">
        <v>293</v>
      </c>
      <c r="H26" s="82" t="s">
        <v>294</v>
      </c>
      <c r="I26" s="82" t="s">
        <v>295</v>
      </c>
      <c r="J26" s="82" t="s">
        <v>296</v>
      </c>
      <c r="K26" s="82" t="s">
        <v>297</v>
      </c>
      <c r="L26" s="82" t="s">
        <v>298</v>
      </c>
      <c r="M26" s="82" t="s">
        <v>299</v>
      </c>
      <c r="N26" s="82" t="s">
        <v>300</v>
      </c>
      <c r="O26" s="82" t="s">
        <v>301</v>
      </c>
      <c r="P26" s="82" t="s">
        <v>302</v>
      </c>
      <c r="Q26" s="82" t="s">
        <v>303</v>
      </c>
      <c r="R26" s="82" t="s">
        <v>304</v>
      </c>
      <c r="S26" s="82" t="s">
        <v>305</v>
      </c>
      <c r="T26" s="82" t="s">
        <v>306</v>
      </c>
      <c r="U26" s="82" t="s">
        <v>307</v>
      </c>
      <c r="V26" s="82" t="s">
        <v>308</v>
      </c>
      <c r="W26" s="82" t="s">
        <v>309</v>
      </c>
    </row>
    <row r="27" spans="1:23">
      <c r="A27" s="82" t="s">
        <v>329</v>
      </c>
      <c r="B27" s="82"/>
      <c r="C27" s="76"/>
      <c r="D27" s="77">
        <f t="shared" ref="D27:W27" si="9">D20/C13</f>
        <v>-0.13646532438478748</v>
      </c>
      <c r="E27" s="77">
        <f t="shared" si="9"/>
        <v>-3.7996545768566495E-2</v>
      </c>
      <c r="F27" s="77">
        <f t="shared" si="9"/>
        <v>-2.0646319569120289E-2</v>
      </c>
      <c r="G27" s="77">
        <f t="shared" si="9"/>
        <v>1.4207149404216315E-2</v>
      </c>
      <c r="H27" s="77">
        <f t="shared" si="9"/>
        <v>-2.1690013556258474E-2</v>
      </c>
      <c r="I27" s="77">
        <f t="shared" si="9"/>
        <v>6.0508083140877598E-2</v>
      </c>
      <c r="J27" s="77">
        <f t="shared" si="9"/>
        <v>-1.3937282229965157E-2</v>
      </c>
      <c r="K27" s="77">
        <f t="shared" si="9"/>
        <v>1.9876325088339222E-2</v>
      </c>
      <c r="L27" s="77">
        <f t="shared" si="9"/>
        <v>5.2836725855348633E-2</v>
      </c>
      <c r="M27" s="77">
        <f t="shared" si="9"/>
        <v>1.1517893870835048E-2</v>
      </c>
      <c r="N27" s="77">
        <f t="shared" si="9"/>
        <v>1.0573403822692151E-2</v>
      </c>
      <c r="O27" s="77">
        <f t="shared" si="9"/>
        <v>3.9436619718309862E-2</v>
      </c>
      <c r="P27" s="77">
        <f t="shared" si="9"/>
        <v>0.32055749128919858</v>
      </c>
      <c r="Q27" s="77">
        <f t="shared" si="9"/>
        <v>5.3943125183230724E-2</v>
      </c>
      <c r="R27" s="77">
        <f t="shared" si="9"/>
        <v>7.7329624478442285E-2</v>
      </c>
      <c r="S27" s="77">
        <f t="shared" si="9"/>
        <v>1.0844306738962044E-2</v>
      </c>
      <c r="T27" s="77">
        <f t="shared" si="9"/>
        <v>4.54661558109834E-2</v>
      </c>
      <c r="U27" s="77">
        <f t="shared" si="9"/>
        <v>-0.46738333740532617</v>
      </c>
      <c r="V27" s="77">
        <f t="shared" si="9"/>
        <v>-5.8715596330275233E-2</v>
      </c>
      <c r="W27" s="77">
        <f t="shared" si="9"/>
        <v>0.63450292397660824</v>
      </c>
    </row>
    <row r="28" spans="1:23">
      <c r="A28" s="82" t="s">
        <v>330</v>
      </c>
      <c r="B28" s="82" t="s">
        <v>367</v>
      </c>
      <c r="C28" s="76"/>
      <c r="D28" s="77">
        <f t="shared" ref="D28:W28" si="10">D21/C14</f>
        <v>-5.8159300631374457E-2</v>
      </c>
      <c r="E28" s="77">
        <f t="shared" si="10"/>
        <v>1.6114477246358127E-2</v>
      </c>
      <c r="F28" s="77">
        <f t="shared" si="10"/>
        <v>-4.5293072824156302E-2</v>
      </c>
      <c r="G28" s="77">
        <f t="shared" si="10"/>
        <v>1.8604651162790697E-2</v>
      </c>
      <c r="H28" s="77">
        <f t="shared" si="10"/>
        <v>-9.0019569471624268E-3</v>
      </c>
      <c r="I28" s="77">
        <f t="shared" si="10"/>
        <v>-0.15139547130068456</v>
      </c>
      <c r="J28" s="77">
        <f t="shared" si="10"/>
        <v>-0.29599751784052125</v>
      </c>
      <c r="K28" s="77">
        <f t="shared" si="10"/>
        <v>-2.2476862053768181E-2</v>
      </c>
      <c r="L28" s="77">
        <f t="shared" si="10"/>
        <v>3.944995491433724E-2</v>
      </c>
      <c r="M28" s="77">
        <f t="shared" si="10"/>
        <v>-5.8555627846454128E-3</v>
      </c>
      <c r="N28" s="77">
        <f t="shared" si="10"/>
        <v>-4.2757417102966842E-2</v>
      </c>
      <c r="O28" s="77">
        <f t="shared" si="10"/>
        <v>2.4384685505925249E-2</v>
      </c>
      <c r="P28" s="77">
        <f t="shared" si="10"/>
        <v>8.898776418242492E-4</v>
      </c>
      <c r="Q28" s="77">
        <f t="shared" si="10"/>
        <v>0.1104689931095799</v>
      </c>
      <c r="R28" s="77">
        <f t="shared" si="10"/>
        <v>1.2810248198558846E-2</v>
      </c>
      <c r="S28" s="77">
        <f t="shared" si="10"/>
        <v>6.6007905138339915E-2</v>
      </c>
      <c r="T28" s="77">
        <f t="shared" si="10"/>
        <v>-2.410085279940675E-3</v>
      </c>
      <c r="U28" s="77">
        <f t="shared" si="10"/>
        <v>-0.41683701914142351</v>
      </c>
      <c r="V28" s="77">
        <f t="shared" si="10"/>
        <v>-0.14467813894200127</v>
      </c>
      <c r="W28" s="77">
        <f t="shared" si="10"/>
        <v>0.23025335320417287</v>
      </c>
    </row>
    <row r="29" spans="1:23">
      <c r="A29" s="82" t="s">
        <v>110</v>
      </c>
      <c r="B29" s="82"/>
      <c r="C29" s="76"/>
      <c r="D29" s="77">
        <f t="shared" ref="D29:W29" si="11">D22/C15</f>
        <v>9.4821298322392417E-3</v>
      </c>
      <c r="E29" s="77">
        <f t="shared" si="11"/>
        <v>-3.9017341040462429E-2</v>
      </c>
      <c r="F29" s="77">
        <f t="shared" si="11"/>
        <v>5.1879699248120303E-2</v>
      </c>
      <c r="G29" s="77">
        <f t="shared" si="11"/>
        <v>2.8591851322373124E-3</v>
      </c>
      <c r="H29" s="77">
        <f t="shared" si="11"/>
        <v>3.4212401995723452E-2</v>
      </c>
      <c r="I29" s="77">
        <f t="shared" si="11"/>
        <v>-5.5823569951757405E-2</v>
      </c>
      <c r="J29" s="77">
        <f t="shared" si="11"/>
        <v>-0.17737226277372262</v>
      </c>
      <c r="K29" s="77">
        <f t="shared" si="11"/>
        <v>-7.0984915705412602E-3</v>
      </c>
      <c r="L29" s="77">
        <f t="shared" si="11"/>
        <v>4.736371760500447E-2</v>
      </c>
      <c r="M29" s="77">
        <f t="shared" si="11"/>
        <v>-2.9863481228668942E-2</v>
      </c>
      <c r="N29" s="77">
        <f t="shared" si="11"/>
        <v>7.0360598065083556E-3</v>
      </c>
      <c r="O29" s="77">
        <f t="shared" si="11"/>
        <v>-2.6200873362445413E-2</v>
      </c>
      <c r="P29" s="77">
        <f t="shared" si="11"/>
        <v>3.5874439461883408E-3</v>
      </c>
      <c r="Q29" s="77">
        <f t="shared" si="11"/>
        <v>6.9705093833780166E-2</v>
      </c>
      <c r="R29" s="77">
        <f t="shared" si="11"/>
        <v>7.685881370091896E-2</v>
      </c>
      <c r="S29" s="77">
        <f t="shared" si="11"/>
        <v>7.7579519006982156E-3</v>
      </c>
      <c r="T29" s="77">
        <f t="shared" si="11"/>
        <v>2.1555042340261739E-2</v>
      </c>
      <c r="U29" s="77">
        <f t="shared" si="11"/>
        <v>-0.26073850791258479</v>
      </c>
      <c r="V29" s="77">
        <f t="shared" si="11"/>
        <v>-5.09683995922528E-2</v>
      </c>
      <c r="W29" s="77">
        <f t="shared" si="11"/>
        <v>0.66702470461868957</v>
      </c>
    </row>
    <row r="30" spans="1:23" s="67" customFormat="1">
      <c r="A30" s="83" t="s">
        <v>203</v>
      </c>
      <c r="B30" s="83"/>
      <c r="C30" s="84"/>
      <c r="D30" s="78">
        <f t="shared" ref="D30:W30" si="12">D23/C16</f>
        <v>-6.7702823663438841E-2</v>
      </c>
      <c r="E30" s="78">
        <f t="shared" si="12"/>
        <v>-1.4838090250501876E-3</v>
      </c>
      <c r="F30" s="78">
        <f t="shared" si="12"/>
        <v>-2.9195804195804195E-2</v>
      </c>
      <c r="G30" s="78">
        <f t="shared" si="12"/>
        <v>1.5757248334233746E-2</v>
      </c>
      <c r="H30" s="78">
        <f t="shared" si="12"/>
        <v>-6.1164790355464939E-3</v>
      </c>
      <c r="I30" s="78">
        <f t="shared" si="12"/>
        <v>-9.8109168747770245E-2</v>
      </c>
      <c r="J30" s="78">
        <f t="shared" si="12"/>
        <v>-0.21588212025316456</v>
      </c>
      <c r="K30" s="78">
        <f t="shared" si="12"/>
        <v>-8.1977550763021826E-3</v>
      </c>
      <c r="L30" s="78">
        <f t="shared" si="12"/>
        <v>4.4506612410986773E-2</v>
      </c>
      <c r="M30" s="78">
        <f t="shared" si="12"/>
        <v>-4.1392744095446795E-3</v>
      </c>
      <c r="N30" s="78">
        <f t="shared" si="12"/>
        <v>-1.9804400977995108E-2</v>
      </c>
      <c r="O30" s="78">
        <f t="shared" si="12"/>
        <v>2.1825891743576954E-2</v>
      </c>
      <c r="P30" s="78">
        <f t="shared" si="12"/>
        <v>0.10203832539973148</v>
      </c>
      <c r="Q30" s="78">
        <f t="shared" si="12"/>
        <v>8.4062465389301136E-2</v>
      </c>
      <c r="R30" s="78">
        <f t="shared" si="12"/>
        <v>4.4340008173273396E-2</v>
      </c>
      <c r="S30" s="78">
        <f t="shared" si="12"/>
        <v>3.7761690471531988E-2</v>
      </c>
      <c r="T30" s="78">
        <f t="shared" si="12"/>
        <v>1.8193815987933636E-2</v>
      </c>
      <c r="U30" s="78">
        <f t="shared" si="12"/>
        <v>-0.41681325803166375</v>
      </c>
      <c r="V30" s="78">
        <f t="shared" si="12"/>
        <v>-0.10033338625178599</v>
      </c>
      <c r="W30" s="78">
        <f t="shared" si="12"/>
        <v>0.44838538909475911</v>
      </c>
    </row>
    <row r="34" spans="5:5">
      <c r="E34" s="492"/>
    </row>
  </sheetData>
  <mergeCells count="4">
    <mergeCell ref="C4:W4"/>
    <mergeCell ref="C11:W11"/>
    <mergeCell ref="C18:W18"/>
    <mergeCell ref="C25:W25"/>
  </mergeCells>
  <hyperlinks>
    <hyperlink ref="A2" r:id="rId1" location="!/view/sk/VBD_SK_WIN/do1003rs/v_do1003rs_00_00_00_sk"/>
  </hyperlinks>
  <pageMargins left="0.75" right="0.75" top="1" bottom="1" header="0.5" footer="0.5"/>
  <pageSetup orientation="portrai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AP100"/>
  <sheetViews>
    <sheetView showGridLines="0" workbookViewId="0">
      <pane xSplit="2" ySplit="4" topLeftCell="C5" activePane="bottomRight" state="frozen"/>
      <selection pane="topRight" activeCell="C1" sqref="C1"/>
      <selection pane="bottomLeft" activeCell="A5" sqref="A5"/>
      <selection pane="bottomRight" activeCell="Y8" sqref="Y8"/>
    </sheetView>
  </sheetViews>
  <sheetFormatPr defaultColWidth="8.85546875" defaultRowHeight="12.75" outlineLevelRow="1"/>
  <cols>
    <col min="1" max="1" width="22.5703125" style="60" customWidth="1"/>
    <col min="2" max="2" width="27.85546875" style="60" customWidth="1"/>
    <col min="3" max="3" width="11.85546875" style="60" customWidth="1"/>
    <col min="4" max="4" width="13.7109375" style="60" customWidth="1"/>
    <col min="5" max="28" width="9.85546875" style="60" bestFit="1" customWidth="1"/>
    <col min="29" max="30" width="9.85546875" style="60" customWidth="1"/>
    <col min="31" max="16384" width="8.85546875" style="60"/>
  </cols>
  <sheetData>
    <row r="1" spans="1:42" ht="15">
      <c r="A1" s="62" t="s">
        <v>279</v>
      </c>
      <c r="B1" s="62"/>
      <c r="C1" s="62"/>
      <c r="D1" s="63"/>
      <c r="J1" s="60" t="s">
        <v>354</v>
      </c>
    </row>
    <row r="2" spans="1:42">
      <c r="A2" s="64" t="s">
        <v>280</v>
      </c>
      <c r="B2" s="64"/>
    </row>
    <row r="3" spans="1:42" ht="15">
      <c r="A3" s="62" t="s">
        <v>281</v>
      </c>
      <c r="B3" s="62"/>
      <c r="C3" s="62"/>
    </row>
    <row r="4" spans="1:42">
      <c r="A4" s="63" t="s">
        <v>282</v>
      </c>
      <c r="B4" s="63"/>
    </row>
    <row r="5" spans="1:42">
      <c r="A5" s="71">
        <v>1</v>
      </c>
      <c r="B5" s="71" t="s">
        <v>494</v>
      </c>
      <c r="C5" s="1910" t="s">
        <v>283</v>
      </c>
      <c r="D5" s="1910"/>
      <c r="E5" s="1910"/>
      <c r="F5" s="1910"/>
      <c r="G5" s="1910"/>
      <c r="H5" s="1910"/>
      <c r="I5" s="1910"/>
      <c r="J5" s="1910"/>
      <c r="K5" s="1910"/>
      <c r="L5" s="1910"/>
      <c r="M5" s="1910"/>
      <c r="N5" s="1910"/>
      <c r="O5" s="1910"/>
      <c r="P5" s="1910"/>
      <c r="Q5" s="1910"/>
      <c r="R5" s="1910"/>
      <c r="S5" s="1910"/>
      <c r="T5" s="1910"/>
      <c r="U5" s="1910"/>
      <c r="V5" s="1910"/>
      <c r="W5" s="1910"/>
      <c r="X5" s="1910"/>
      <c r="Y5" s="1910"/>
      <c r="Z5" s="1910"/>
      <c r="AA5" s="1910"/>
      <c r="AB5" s="1910"/>
      <c r="AC5" s="86"/>
      <c r="AD5" s="86"/>
      <c r="AE5" s="96"/>
      <c r="AF5" s="96"/>
      <c r="AG5" s="96"/>
      <c r="AH5" s="96"/>
      <c r="AI5" s="96"/>
      <c r="AJ5" s="96"/>
      <c r="AK5" s="96"/>
      <c r="AL5" s="96"/>
      <c r="AM5" s="96"/>
      <c r="AN5" s="96"/>
      <c r="AO5" s="96"/>
      <c r="AP5" s="96"/>
    </row>
    <row r="6" spans="1:42">
      <c r="A6" s="71"/>
      <c r="B6" s="71"/>
      <c r="C6" s="72" t="s">
        <v>284</v>
      </c>
      <c r="D6" s="72" t="s">
        <v>285</v>
      </c>
      <c r="E6" s="72" t="s">
        <v>286</v>
      </c>
      <c r="F6" s="72" t="s">
        <v>287</v>
      </c>
      <c r="G6" s="72" t="s">
        <v>288</v>
      </c>
      <c r="H6" s="72" t="s">
        <v>289</v>
      </c>
      <c r="I6" s="72" t="s">
        <v>290</v>
      </c>
      <c r="J6" s="72" t="s">
        <v>291</v>
      </c>
      <c r="K6" s="72" t="s">
        <v>292</v>
      </c>
      <c r="L6" s="72" t="s">
        <v>293</v>
      </c>
      <c r="M6" s="72" t="s">
        <v>294</v>
      </c>
      <c r="N6" s="72" t="s">
        <v>295</v>
      </c>
      <c r="O6" s="72" t="s">
        <v>296</v>
      </c>
      <c r="P6" s="72" t="s">
        <v>297</v>
      </c>
      <c r="Q6" s="72" t="s">
        <v>298</v>
      </c>
      <c r="R6" s="72" t="s">
        <v>299</v>
      </c>
      <c r="S6" s="72" t="s">
        <v>300</v>
      </c>
      <c r="T6" s="72" t="s">
        <v>301</v>
      </c>
      <c r="U6" s="72" t="s">
        <v>302</v>
      </c>
      <c r="V6" s="72" t="s">
        <v>303</v>
      </c>
      <c r="W6" s="72" t="s">
        <v>304</v>
      </c>
      <c r="X6" s="72" t="s">
        <v>305</v>
      </c>
      <c r="Y6" s="72" t="s">
        <v>306</v>
      </c>
      <c r="Z6" s="72" t="s">
        <v>307</v>
      </c>
      <c r="AA6" s="72" t="s">
        <v>308</v>
      </c>
      <c r="AB6" s="72" t="s">
        <v>309</v>
      </c>
      <c r="AC6" s="72" t="s">
        <v>351</v>
      </c>
      <c r="AD6" s="72" t="s">
        <v>352</v>
      </c>
      <c r="AE6" s="72" t="s">
        <v>340</v>
      </c>
      <c r="AF6" s="72" t="s">
        <v>341</v>
      </c>
      <c r="AG6" s="72" t="s">
        <v>342</v>
      </c>
      <c r="AH6" s="72" t="s">
        <v>343</v>
      </c>
      <c r="AI6" s="72" t="s">
        <v>344</v>
      </c>
      <c r="AJ6" s="72" t="s">
        <v>345</v>
      </c>
      <c r="AK6" s="72" t="s">
        <v>346</v>
      </c>
      <c r="AL6" s="72" t="s">
        <v>347</v>
      </c>
      <c r="AM6" s="72" t="s">
        <v>348</v>
      </c>
      <c r="AN6" s="72" t="s">
        <v>349</v>
      </c>
      <c r="AO6" s="72" t="s">
        <v>350</v>
      </c>
      <c r="AP6" s="72" t="s">
        <v>353</v>
      </c>
    </row>
    <row r="7" spans="1:42" outlineLevel="1">
      <c r="A7" s="72" t="s">
        <v>315</v>
      </c>
      <c r="B7" s="1917" t="s">
        <v>339</v>
      </c>
      <c r="C7" s="73">
        <v>140440</v>
      </c>
      <c r="D7" s="73">
        <v>130435</v>
      </c>
      <c r="E7" s="73">
        <v>119947</v>
      </c>
      <c r="F7" s="73">
        <v>113958</v>
      </c>
      <c r="G7" s="73">
        <v>104041</v>
      </c>
      <c r="H7" s="73">
        <v>98533</v>
      </c>
      <c r="I7" s="73">
        <v>95775</v>
      </c>
      <c r="J7" s="73">
        <v>87886</v>
      </c>
      <c r="K7" s="73">
        <v>79999</v>
      </c>
      <c r="L7" s="73">
        <v>63824</v>
      </c>
      <c r="M7" s="73">
        <v>59487</v>
      </c>
      <c r="N7" s="73">
        <v>53745</v>
      </c>
      <c r="O7" s="73">
        <v>46020</v>
      </c>
      <c r="P7" s="73">
        <v>45020</v>
      </c>
      <c r="Q7" s="73">
        <v>42692</v>
      </c>
      <c r="R7" s="73">
        <v>41367</v>
      </c>
      <c r="S7" s="73">
        <v>40118</v>
      </c>
      <c r="T7" s="73">
        <v>38173</v>
      </c>
      <c r="U7" s="73">
        <v>36928</v>
      </c>
      <c r="V7" s="73">
        <v>35434</v>
      </c>
      <c r="W7" s="73">
        <v>34851</v>
      </c>
      <c r="X7" s="73">
        <v>34496</v>
      </c>
      <c r="Y7" s="73">
        <v>33911</v>
      </c>
      <c r="Z7" s="73">
        <v>21800</v>
      </c>
      <c r="AA7" s="73">
        <v>21535</v>
      </c>
      <c r="AB7" s="73">
        <v>27454</v>
      </c>
      <c r="AC7" s="73">
        <f t="shared" ref="AC7:AC14" si="0">AVERAGE(S7:AB7)</f>
        <v>32470</v>
      </c>
      <c r="AD7" s="73">
        <f t="shared" ref="AD7:AD14" si="1">AVERAGE(Q7:Y7)</f>
        <v>37552.222222222219</v>
      </c>
      <c r="AE7" s="96"/>
      <c r="AF7" s="96"/>
      <c r="AG7" s="96"/>
      <c r="AH7" s="96"/>
      <c r="AI7" s="96"/>
      <c r="AJ7" s="96"/>
      <c r="AK7" s="96"/>
      <c r="AL7" s="96"/>
      <c r="AM7" s="96"/>
      <c r="AN7" s="96"/>
      <c r="AO7" s="96"/>
      <c r="AP7" s="96"/>
    </row>
    <row r="8" spans="1:42" outlineLevel="1">
      <c r="A8" s="72" t="s">
        <v>310</v>
      </c>
      <c r="B8" s="1918"/>
      <c r="C8" s="73">
        <v>27996</v>
      </c>
      <c r="D8" s="73">
        <v>25598</v>
      </c>
      <c r="E8" s="73">
        <v>24205</v>
      </c>
      <c r="F8" s="73">
        <v>23068</v>
      </c>
      <c r="G8" s="73">
        <v>22743</v>
      </c>
      <c r="H8" s="73">
        <v>22549</v>
      </c>
      <c r="I8" s="73">
        <v>20220</v>
      </c>
      <c r="J8" s="73">
        <v>19014</v>
      </c>
      <c r="K8" s="73">
        <v>18229</v>
      </c>
      <c r="L8" s="73">
        <v>17658</v>
      </c>
      <c r="M8" s="73">
        <v>17094</v>
      </c>
      <c r="N8" s="73">
        <v>16934</v>
      </c>
      <c r="O8" s="73">
        <v>15722</v>
      </c>
      <c r="P8" s="73">
        <v>15748</v>
      </c>
      <c r="Q8" s="73">
        <v>15564</v>
      </c>
      <c r="R8" s="73">
        <v>14543</v>
      </c>
      <c r="S8" s="73">
        <v>13992</v>
      </c>
      <c r="T8" s="73">
        <v>13883</v>
      </c>
      <c r="U8" s="73">
        <v>14171</v>
      </c>
      <c r="V8" s="73">
        <v>15395</v>
      </c>
      <c r="W8" s="73">
        <v>16051</v>
      </c>
      <c r="X8" s="73">
        <v>17857</v>
      </c>
      <c r="Y8" s="73">
        <v>18025</v>
      </c>
      <c r="Z8" s="73">
        <v>11405</v>
      </c>
      <c r="AA8" s="73">
        <v>12841</v>
      </c>
      <c r="AB8" s="73">
        <v>14147</v>
      </c>
      <c r="AC8" s="73">
        <f t="shared" si="0"/>
        <v>14776.7</v>
      </c>
      <c r="AD8" s="73">
        <f t="shared" si="1"/>
        <v>15497.888888888889</v>
      </c>
      <c r="AE8" s="96"/>
      <c r="AF8" s="96"/>
      <c r="AG8" s="96"/>
      <c r="AH8" s="96"/>
      <c r="AI8" s="96"/>
      <c r="AJ8" s="96"/>
      <c r="AK8" s="96"/>
      <c r="AL8" s="96"/>
      <c r="AM8" s="96"/>
      <c r="AN8" s="96"/>
      <c r="AO8" s="96"/>
      <c r="AP8" s="96"/>
    </row>
    <row r="9" spans="1:42" outlineLevel="1">
      <c r="A9" s="72" t="s">
        <v>317</v>
      </c>
      <c r="B9" s="1918"/>
      <c r="C9" s="73">
        <v>65417</v>
      </c>
      <c r="D9" s="73">
        <v>63721</v>
      </c>
      <c r="E9" s="73">
        <v>56295</v>
      </c>
      <c r="F9" s="73">
        <v>54402</v>
      </c>
      <c r="G9" s="73">
        <v>52895</v>
      </c>
      <c r="H9" s="73">
        <v>49858</v>
      </c>
      <c r="I9" s="73">
        <v>45501</v>
      </c>
      <c r="J9" s="73">
        <v>42621</v>
      </c>
      <c r="K9" s="73">
        <v>41219</v>
      </c>
      <c r="L9" s="73">
        <v>41657</v>
      </c>
      <c r="M9" s="73">
        <v>40488</v>
      </c>
      <c r="N9" s="73">
        <v>37667</v>
      </c>
      <c r="O9" s="73">
        <v>32037</v>
      </c>
      <c r="P9" s="73">
        <v>29336</v>
      </c>
      <c r="Q9" s="73">
        <v>29341</v>
      </c>
      <c r="R9" s="73">
        <v>28046</v>
      </c>
      <c r="S9" s="73">
        <v>27401</v>
      </c>
      <c r="T9" s="73">
        <v>26235</v>
      </c>
      <c r="U9" s="73">
        <v>24286</v>
      </c>
      <c r="V9" s="73">
        <v>24447</v>
      </c>
      <c r="W9" s="73">
        <v>23746</v>
      </c>
      <c r="X9" s="73">
        <v>24185</v>
      </c>
      <c r="Y9" s="73">
        <v>24474</v>
      </c>
      <c r="Z9" s="73">
        <v>15070</v>
      </c>
      <c r="AA9" s="73">
        <v>13840</v>
      </c>
      <c r="AB9" s="73">
        <v>19454</v>
      </c>
      <c r="AC9" s="73">
        <f t="shared" si="0"/>
        <v>22313.8</v>
      </c>
      <c r="AD9" s="73">
        <f t="shared" si="1"/>
        <v>25795.666666666668</v>
      </c>
      <c r="AE9" s="96"/>
      <c r="AF9" s="96"/>
      <c r="AG9" s="96"/>
      <c r="AH9" s="96"/>
      <c r="AI9" s="96"/>
      <c r="AJ9" s="96"/>
      <c r="AK9" s="96"/>
      <c r="AL9" s="96"/>
      <c r="AM9" s="96"/>
      <c r="AN9" s="96"/>
      <c r="AO9" s="96"/>
      <c r="AP9" s="96"/>
    </row>
    <row r="10" spans="1:42" outlineLevel="1">
      <c r="A10" s="72" t="s">
        <v>313</v>
      </c>
      <c r="B10" s="1918"/>
      <c r="C10" s="73">
        <v>98377</v>
      </c>
      <c r="D10" s="73">
        <v>92623</v>
      </c>
      <c r="E10" s="73">
        <v>86571</v>
      </c>
      <c r="F10" s="73">
        <v>89209</v>
      </c>
      <c r="G10" s="73">
        <v>85399</v>
      </c>
      <c r="H10" s="73">
        <v>75503</v>
      </c>
      <c r="I10" s="73">
        <v>65293</v>
      </c>
      <c r="J10" s="73">
        <v>62815</v>
      </c>
      <c r="K10" s="73">
        <v>61436</v>
      </c>
      <c r="L10" s="73">
        <v>58066</v>
      </c>
      <c r="M10" s="73">
        <v>58101</v>
      </c>
      <c r="N10" s="73">
        <v>60106</v>
      </c>
      <c r="O10" s="73">
        <v>54651</v>
      </c>
      <c r="P10" s="73">
        <v>53866</v>
      </c>
      <c r="Q10" s="73">
        <v>50175</v>
      </c>
      <c r="R10" s="73">
        <v>48138</v>
      </c>
      <c r="S10" s="73">
        <v>44332</v>
      </c>
      <c r="T10" s="73">
        <v>41523</v>
      </c>
      <c r="U10" s="73">
        <v>41433</v>
      </c>
      <c r="V10" s="73">
        <v>41465</v>
      </c>
      <c r="W10" s="73">
        <v>41554</v>
      </c>
      <c r="X10" s="73">
        <v>41015</v>
      </c>
      <c r="Y10" s="73">
        <v>39732</v>
      </c>
      <c r="Z10" s="73">
        <v>27476</v>
      </c>
      <c r="AA10" s="73">
        <v>26869</v>
      </c>
      <c r="AB10" s="73">
        <v>16575</v>
      </c>
      <c r="AC10" s="73">
        <f t="shared" si="0"/>
        <v>36197.4</v>
      </c>
      <c r="AD10" s="73">
        <f t="shared" si="1"/>
        <v>43263</v>
      </c>
      <c r="AE10" s="96"/>
      <c r="AF10" s="96"/>
      <c r="AG10" s="96"/>
      <c r="AH10" s="96"/>
      <c r="AI10" s="96"/>
      <c r="AJ10" s="96"/>
      <c r="AK10" s="96"/>
      <c r="AL10" s="96"/>
      <c r="AM10" s="96"/>
      <c r="AN10" s="96"/>
      <c r="AO10" s="96"/>
      <c r="AP10" s="96"/>
    </row>
    <row r="11" spans="1:42" outlineLevel="1">
      <c r="A11" s="72" t="s">
        <v>316</v>
      </c>
      <c r="B11" s="1918"/>
      <c r="C11" s="73">
        <v>77579</v>
      </c>
      <c r="D11" s="73">
        <v>74500</v>
      </c>
      <c r="E11" s="73">
        <v>78372</v>
      </c>
      <c r="F11" s="73">
        <v>74613</v>
      </c>
      <c r="G11" s="73">
        <v>68964</v>
      </c>
      <c r="H11" s="73">
        <v>68691</v>
      </c>
      <c r="I11" s="73">
        <v>65809</v>
      </c>
      <c r="J11" s="73">
        <v>60830</v>
      </c>
      <c r="K11" s="73">
        <v>56818</v>
      </c>
      <c r="L11" s="73">
        <v>53369</v>
      </c>
      <c r="M11" s="73">
        <v>49095</v>
      </c>
      <c r="N11" s="73">
        <v>45870</v>
      </c>
      <c r="O11" s="73">
        <v>39604</v>
      </c>
      <c r="P11" s="73">
        <v>38472</v>
      </c>
      <c r="Q11" s="73">
        <v>36370</v>
      </c>
      <c r="R11" s="73">
        <v>35028</v>
      </c>
      <c r="S11" s="73">
        <v>33131</v>
      </c>
      <c r="T11" s="73">
        <v>29917</v>
      </c>
      <c r="U11" s="73">
        <v>28998</v>
      </c>
      <c r="V11" s="73">
        <v>27470</v>
      </c>
      <c r="W11" s="73">
        <v>26488</v>
      </c>
      <c r="X11" s="73">
        <v>25793</v>
      </c>
      <c r="Y11" s="73">
        <v>25449</v>
      </c>
      <c r="Z11" s="73">
        <v>15882</v>
      </c>
      <c r="AA11" s="73">
        <v>16825</v>
      </c>
      <c r="AB11" s="73">
        <v>21565</v>
      </c>
      <c r="AC11" s="73">
        <f t="shared" si="0"/>
        <v>25151.8</v>
      </c>
      <c r="AD11" s="73">
        <f t="shared" si="1"/>
        <v>29849.333333333332</v>
      </c>
      <c r="AE11" s="96"/>
      <c r="AF11" s="96"/>
      <c r="AG11" s="96"/>
      <c r="AH11" s="96"/>
      <c r="AI11" s="96"/>
      <c r="AJ11" s="96"/>
      <c r="AK11" s="96"/>
      <c r="AL11" s="96"/>
      <c r="AM11" s="96"/>
      <c r="AN11" s="96"/>
      <c r="AO11" s="96"/>
      <c r="AP11" s="96"/>
    </row>
    <row r="12" spans="1:42" outlineLevel="1">
      <c r="A12" s="72" t="s">
        <v>312</v>
      </c>
      <c r="B12" s="1918"/>
      <c r="C12" s="73">
        <v>92170</v>
      </c>
      <c r="D12" s="73">
        <v>108239</v>
      </c>
      <c r="E12" s="73">
        <v>101307</v>
      </c>
      <c r="F12" s="73">
        <v>100598</v>
      </c>
      <c r="G12" s="73">
        <v>95495</v>
      </c>
      <c r="H12" s="73">
        <v>90024</v>
      </c>
      <c r="I12" s="73">
        <v>81651</v>
      </c>
      <c r="J12" s="73">
        <v>77397</v>
      </c>
      <c r="K12" s="73">
        <v>85019</v>
      </c>
      <c r="L12" s="73">
        <v>65209</v>
      </c>
      <c r="M12" s="73">
        <v>62301</v>
      </c>
      <c r="N12" s="73">
        <v>59151</v>
      </c>
      <c r="O12" s="73">
        <v>53177</v>
      </c>
      <c r="P12" s="73">
        <v>51506</v>
      </c>
      <c r="Q12" s="73">
        <v>48242</v>
      </c>
      <c r="R12" s="73">
        <v>44747</v>
      </c>
      <c r="S12" s="73">
        <v>42569</v>
      </c>
      <c r="T12" s="73">
        <v>40313</v>
      </c>
      <c r="U12" s="73">
        <v>39133</v>
      </c>
      <c r="V12" s="73">
        <v>37876</v>
      </c>
      <c r="W12" s="73">
        <v>36590</v>
      </c>
      <c r="X12" s="73">
        <v>35794</v>
      </c>
      <c r="Y12" s="73">
        <v>34904</v>
      </c>
      <c r="Z12" s="73">
        <v>22394</v>
      </c>
      <c r="AA12" s="73">
        <v>20649</v>
      </c>
      <c r="AB12" s="73">
        <v>24435</v>
      </c>
      <c r="AC12" s="73">
        <f t="shared" si="0"/>
        <v>33465.699999999997</v>
      </c>
      <c r="AD12" s="73">
        <f t="shared" si="1"/>
        <v>40018.666666666664</v>
      </c>
      <c r="AE12" s="96"/>
      <c r="AF12" s="96"/>
      <c r="AG12" s="96"/>
      <c r="AH12" s="96"/>
      <c r="AI12" s="96"/>
      <c r="AJ12" s="96"/>
      <c r="AK12" s="96"/>
      <c r="AL12" s="96"/>
      <c r="AM12" s="96"/>
      <c r="AN12" s="96"/>
      <c r="AO12" s="96"/>
      <c r="AP12" s="96"/>
    </row>
    <row r="13" spans="1:42" outlineLevel="1">
      <c r="A13" s="72" t="s">
        <v>311</v>
      </c>
      <c r="B13" s="1918"/>
      <c r="C13" s="73">
        <v>62335</v>
      </c>
      <c r="D13" s="73">
        <v>61033</v>
      </c>
      <c r="E13" s="73">
        <v>58316</v>
      </c>
      <c r="F13" s="73">
        <v>50910</v>
      </c>
      <c r="G13" s="73">
        <v>47832</v>
      </c>
      <c r="H13" s="73">
        <v>45047</v>
      </c>
      <c r="I13" s="73">
        <v>40354</v>
      </c>
      <c r="J13" s="73">
        <v>37772</v>
      </c>
      <c r="K13" s="73">
        <v>37549</v>
      </c>
      <c r="L13" s="73">
        <v>36783</v>
      </c>
      <c r="M13" s="73">
        <v>35145</v>
      </c>
      <c r="N13" s="73">
        <v>33071</v>
      </c>
      <c r="O13" s="73">
        <v>29027</v>
      </c>
      <c r="P13" s="73">
        <v>28437</v>
      </c>
      <c r="Q13" s="73">
        <v>27450</v>
      </c>
      <c r="R13" s="73">
        <v>26441</v>
      </c>
      <c r="S13" s="73">
        <v>26002</v>
      </c>
      <c r="T13" s="73">
        <v>24536</v>
      </c>
      <c r="U13" s="73">
        <v>23831</v>
      </c>
      <c r="V13" s="73">
        <v>23876</v>
      </c>
      <c r="W13" s="73">
        <v>25592</v>
      </c>
      <c r="X13" s="73">
        <v>22843</v>
      </c>
      <c r="Y13" s="73">
        <v>22808</v>
      </c>
      <c r="Z13" s="73">
        <v>14499</v>
      </c>
      <c r="AA13" s="73">
        <v>14278</v>
      </c>
      <c r="AB13" s="73">
        <v>18269</v>
      </c>
      <c r="AC13" s="73">
        <f t="shared" si="0"/>
        <v>21653.4</v>
      </c>
      <c r="AD13" s="73">
        <f t="shared" si="1"/>
        <v>24819.888888888891</v>
      </c>
      <c r="AE13" s="96"/>
      <c r="AF13" s="96"/>
      <c r="AG13" s="96"/>
      <c r="AH13" s="96"/>
      <c r="AI13" s="96"/>
      <c r="AJ13" s="96"/>
      <c r="AK13" s="96"/>
      <c r="AL13" s="96"/>
      <c r="AM13" s="96"/>
      <c r="AN13" s="96"/>
      <c r="AO13" s="96"/>
      <c r="AP13" s="96"/>
    </row>
    <row r="14" spans="1:42" outlineLevel="1">
      <c r="A14" s="72" t="s">
        <v>314</v>
      </c>
      <c r="B14" s="1919"/>
      <c r="C14" s="73">
        <v>103113</v>
      </c>
      <c r="D14" s="73">
        <v>101626</v>
      </c>
      <c r="E14" s="73">
        <v>96554</v>
      </c>
      <c r="F14" s="73">
        <v>97491</v>
      </c>
      <c r="G14" s="73">
        <v>89076</v>
      </c>
      <c r="H14" s="73">
        <v>86408</v>
      </c>
      <c r="I14" s="73">
        <v>79103</v>
      </c>
      <c r="J14" s="73">
        <v>73437</v>
      </c>
      <c r="K14" s="73">
        <v>69187</v>
      </c>
      <c r="L14" s="73">
        <v>66704</v>
      </c>
      <c r="M14" s="73">
        <v>62926</v>
      </c>
      <c r="N14" s="73">
        <v>58975</v>
      </c>
      <c r="O14" s="73">
        <v>52904</v>
      </c>
      <c r="P14" s="73">
        <v>50332</v>
      </c>
      <c r="Q14" s="73">
        <v>49745</v>
      </c>
      <c r="R14" s="73">
        <v>50918</v>
      </c>
      <c r="S14" s="73">
        <v>42578</v>
      </c>
      <c r="T14" s="73">
        <v>45442</v>
      </c>
      <c r="U14" s="73">
        <v>38985</v>
      </c>
      <c r="V14" s="73">
        <v>38332</v>
      </c>
      <c r="W14" s="73">
        <v>36842</v>
      </c>
      <c r="X14" s="73">
        <v>36518</v>
      </c>
      <c r="Y14" s="73">
        <v>36231</v>
      </c>
      <c r="Z14" s="73">
        <v>22767</v>
      </c>
      <c r="AA14" s="73">
        <v>21290</v>
      </c>
      <c r="AB14" s="73">
        <v>23143</v>
      </c>
      <c r="AC14" s="73">
        <f t="shared" si="0"/>
        <v>34212.800000000003</v>
      </c>
      <c r="AD14" s="73">
        <f t="shared" si="1"/>
        <v>41732.333333333336</v>
      </c>
      <c r="AE14" s="96"/>
      <c r="AF14" s="96"/>
      <c r="AG14" s="96"/>
      <c r="AH14" s="96"/>
      <c r="AI14" s="96"/>
      <c r="AJ14" s="96"/>
      <c r="AK14" s="96"/>
      <c r="AL14" s="96"/>
      <c r="AM14" s="96"/>
      <c r="AN14" s="96"/>
      <c r="AO14" s="96"/>
      <c r="AP14" s="96"/>
    </row>
    <row r="15" spans="1:42" s="61" customFormat="1">
      <c r="A15" s="74" t="s">
        <v>203</v>
      </c>
      <c r="B15" s="74"/>
      <c r="C15" s="75">
        <f t="shared" ref="C15:AD15" si="2">SUM(C7:C14)</f>
        <v>667427</v>
      </c>
      <c r="D15" s="75">
        <f t="shared" si="2"/>
        <v>657775</v>
      </c>
      <c r="E15" s="75">
        <f t="shared" si="2"/>
        <v>621567</v>
      </c>
      <c r="F15" s="75">
        <f t="shared" si="2"/>
        <v>604249</v>
      </c>
      <c r="G15" s="75">
        <f t="shared" si="2"/>
        <v>566445</v>
      </c>
      <c r="H15" s="75">
        <f t="shared" si="2"/>
        <v>536613</v>
      </c>
      <c r="I15" s="75">
        <f t="shared" si="2"/>
        <v>493706</v>
      </c>
      <c r="J15" s="75">
        <f t="shared" si="2"/>
        <v>461772</v>
      </c>
      <c r="K15" s="75">
        <f t="shared" si="2"/>
        <v>449456</v>
      </c>
      <c r="L15" s="75">
        <f t="shared" si="2"/>
        <v>403270</v>
      </c>
      <c r="M15" s="75">
        <f t="shared" si="2"/>
        <v>384637</v>
      </c>
      <c r="N15" s="75">
        <f t="shared" si="2"/>
        <v>365519</v>
      </c>
      <c r="O15" s="75">
        <f t="shared" si="2"/>
        <v>323142</v>
      </c>
      <c r="P15" s="75">
        <f t="shared" si="2"/>
        <v>312717</v>
      </c>
      <c r="Q15" s="75">
        <f t="shared" si="2"/>
        <v>299579</v>
      </c>
      <c r="R15" s="75">
        <f t="shared" si="2"/>
        <v>289228</v>
      </c>
      <c r="S15" s="75">
        <f t="shared" si="2"/>
        <v>270123</v>
      </c>
      <c r="T15" s="75">
        <f t="shared" si="2"/>
        <v>260022</v>
      </c>
      <c r="U15" s="75">
        <f t="shared" si="2"/>
        <v>247765</v>
      </c>
      <c r="V15" s="75">
        <f t="shared" si="2"/>
        <v>244295</v>
      </c>
      <c r="W15" s="75">
        <f t="shared" si="2"/>
        <v>241714</v>
      </c>
      <c r="X15" s="75">
        <f t="shared" si="2"/>
        <v>238501</v>
      </c>
      <c r="Y15" s="75">
        <f t="shared" si="2"/>
        <v>235534</v>
      </c>
      <c r="Z15" s="75">
        <f t="shared" si="2"/>
        <v>151293</v>
      </c>
      <c r="AA15" s="75">
        <f t="shared" si="2"/>
        <v>148127</v>
      </c>
      <c r="AB15" s="75">
        <f t="shared" si="2"/>
        <v>165042</v>
      </c>
      <c r="AC15" s="75">
        <f t="shared" si="2"/>
        <v>220241.59999999998</v>
      </c>
      <c r="AD15" s="75">
        <f t="shared" si="2"/>
        <v>258529.00000000003</v>
      </c>
      <c r="AE15" s="97"/>
      <c r="AF15" s="97"/>
      <c r="AG15" s="97"/>
      <c r="AH15" s="97"/>
      <c r="AI15" s="97"/>
      <c r="AJ15" s="97"/>
      <c r="AK15" s="97"/>
      <c r="AL15" s="97"/>
      <c r="AM15" s="97"/>
      <c r="AN15" s="97"/>
      <c r="AO15" s="97"/>
      <c r="AP15" s="97"/>
    </row>
    <row r="16" spans="1:42" ht="15">
      <c r="C16" s="65"/>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row>
    <row r="17" spans="1:42">
      <c r="A17" s="71">
        <v>2</v>
      </c>
      <c r="B17" s="71" t="s">
        <v>494</v>
      </c>
      <c r="C17" s="1910" t="s">
        <v>318</v>
      </c>
      <c r="D17" s="1910"/>
      <c r="E17" s="1910"/>
      <c r="F17" s="1910"/>
      <c r="G17" s="1910"/>
      <c r="H17" s="1910"/>
      <c r="I17" s="1910"/>
      <c r="J17" s="1910"/>
      <c r="K17" s="1910"/>
      <c r="L17" s="1910"/>
      <c r="M17" s="1910"/>
      <c r="N17" s="1910"/>
      <c r="O17" s="1910"/>
      <c r="P17" s="1910"/>
      <c r="Q17" s="1910"/>
      <c r="R17" s="1910"/>
      <c r="S17" s="1910"/>
      <c r="T17" s="1910"/>
      <c r="U17" s="1910"/>
      <c r="V17" s="1910"/>
      <c r="W17" s="1910"/>
      <c r="X17" s="1910"/>
      <c r="Y17" s="1910"/>
      <c r="Z17" s="1910"/>
      <c r="AA17" s="1910"/>
      <c r="AB17" s="1910"/>
      <c r="AC17" s="86"/>
      <c r="AD17" s="86"/>
      <c r="AE17" s="96"/>
      <c r="AF17" s="96"/>
      <c r="AG17" s="96"/>
      <c r="AH17" s="96"/>
      <c r="AI17" s="96"/>
      <c r="AJ17" s="96"/>
      <c r="AK17" s="96"/>
      <c r="AL17" s="96"/>
      <c r="AM17" s="96"/>
      <c r="AN17" s="96"/>
      <c r="AO17" s="96"/>
      <c r="AP17" s="96"/>
    </row>
    <row r="18" spans="1:42">
      <c r="A18" s="71"/>
      <c r="B18" s="71"/>
      <c r="C18" s="72" t="s">
        <v>284</v>
      </c>
      <c r="D18" s="72" t="s">
        <v>285</v>
      </c>
      <c r="E18" s="72" t="s">
        <v>286</v>
      </c>
      <c r="F18" s="72" t="s">
        <v>287</v>
      </c>
      <c r="G18" s="72" t="s">
        <v>288</v>
      </c>
      <c r="H18" s="72" t="s">
        <v>289</v>
      </c>
      <c r="I18" s="72" t="s">
        <v>290</v>
      </c>
      <c r="J18" s="72" t="s">
        <v>291</v>
      </c>
      <c r="K18" s="72" t="s">
        <v>292</v>
      </c>
      <c r="L18" s="72" t="s">
        <v>293</v>
      </c>
      <c r="M18" s="72" t="s">
        <v>294</v>
      </c>
      <c r="N18" s="72" t="s">
        <v>295</v>
      </c>
      <c r="O18" s="72" t="s">
        <v>296</v>
      </c>
      <c r="P18" s="72" t="s">
        <v>297</v>
      </c>
      <c r="Q18" s="72" t="s">
        <v>298</v>
      </c>
      <c r="R18" s="72" t="s">
        <v>299</v>
      </c>
      <c r="S18" s="72" t="s">
        <v>300</v>
      </c>
      <c r="T18" s="72" t="s">
        <v>301</v>
      </c>
      <c r="U18" s="72" t="s">
        <v>302</v>
      </c>
      <c r="V18" s="72" t="s">
        <v>303</v>
      </c>
      <c r="W18" s="72" t="s">
        <v>304</v>
      </c>
      <c r="X18" s="72" t="s">
        <v>305</v>
      </c>
      <c r="Y18" s="72" t="s">
        <v>306</v>
      </c>
      <c r="Z18" s="72" t="s">
        <v>307</v>
      </c>
      <c r="AA18" s="72" t="s">
        <v>308</v>
      </c>
      <c r="AB18" s="72" t="s">
        <v>309</v>
      </c>
      <c r="AC18" s="72" t="s">
        <v>351</v>
      </c>
      <c r="AD18" s="72" t="s">
        <v>352</v>
      </c>
      <c r="AE18" s="72" t="s">
        <v>340</v>
      </c>
      <c r="AF18" s="72" t="s">
        <v>341</v>
      </c>
      <c r="AG18" s="72" t="s">
        <v>342</v>
      </c>
      <c r="AH18" s="72" t="s">
        <v>343</v>
      </c>
      <c r="AI18" s="72" t="s">
        <v>344</v>
      </c>
      <c r="AJ18" s="72" t="s">
        <v>345</v>
      </c>
      <c r="AK18" s="72" t="s">
        <v>346</v>
      </c>
      <c r="AL18" s="72" t="s">
        <v>347</v>
      </c>
      <c r="AM18" s="72" t="s">
        <v>348</v>
      </c>
      <c r="AN18" s="72" t="s">
        <v>349</v>
      </c>
      <c r="AO18" s="72" t="s">
        <v>350</v>
      </c>
      <c r="AP18" s="72" t="s">
        <v>353</v>
      </c>
    </row>
    <row r="19" spans="1:42" hidden="1" outlineLevel="1">
      <c r="A19" s="72" t="s">
        <v>315</v>
      </c>
      <c r="B19" s="1917" t="s">
        <v>339</v>
      </c>
      <c r="C19" s="76">
        <f t="shared" ref="C19:AB19" si="3">C7*1000</f>
        <v>140440000</v>
      </c>
      <c r="D19" s="76">
        <f t="shared" si="3"/>
        <v>130435000</v>
      </c>
      <c r="E19" s="76">
        <f t="shared" si="3"/>
        <v>119947000</v>
      </c>
      <c r="F19" s="76">
        <f t="shared" si="3"/>
        <v>113958000</v>
      </c>
      <c r="G19" s="76">
        <f t="shared" si="3"/>
        <v>104041000</v>
      </c>
      <c r="H19" s="76">
        <f t="shared" si="3"/>
        <v>98533000</v>
      </c>
      <c r="I19" s="76">
        <f t="shared" si="3"/>
        <v>95775000</v>
      </c>
      <c r="J19" s="76">
        <f t="shared" si="3"/>
        <v>87886000</v>
      </c>
      <c r="K19" s="76">
        <f t="shared" si="3"/>
        <v>79999000</v>
      </c>
      <c r="L19" s="76">
        <f t="shared" si="3"/>
        <v>63824000</v>
      </c>
      <c r="M19" s="76">
        <f t="shared" si="3"/>
        <v>59487000</v>
      </c>
      <c r="N19" s="76">
        <f t="shared" si="3"/>
        <v>53745000</v>
      </c>
      <c r="O19" s="76">
        <f t="shared" si="3"/>
        <v>46020000</v>
      </c>
      <c r="P19" s="76">
        <f t="shared" si="3"/>
        <v>45020000</v>
      </c>
      <c r="Q19" s="76">
        <f t="shared" si="3"/>
        <v>42692000</v>
      </c>
      <c r="R19" s="76">
        <f t="shared" si="3"/>
        <v>41367000</v>
      </c>
      <c r="S19" s="76">
        <f t="shared" si="3"/>
        <v>40118000</v>
      </c>
      <c r="T19" s="76">
        <f t="shared" si="3"/>
        <v>38173000</v>
      </c>
      <c r="U19" s="76">
        <f t="shared" si="3"/>
        <v>36928000</v>
      </c>
      <c r="V19" s="76">
        <f t="shared" si="3"/>
        <v>35434000</v>
      </c>
      <c r="W19" s="76">
        <f t="shared" si="3"/>
        <v>34851000</v>
      </c>
      <c r="X19" s="76">
        <f t="shared" si="3"/>
        <v>34496000</v>
      </c>
      <c r="Y19" s="76">
        <f t="shared" si="3"/>
        <v>33911000</v>
      </c>
      <c r="Z19" s="76">
        <f t="shared" si="3"/>
        <v>21800000</v>
      </c>
      <c r="AA19" s="76">
        <f t="shared" si="3"/>
        <v>21535000</v>
      </c>
      <c r="AB19" s="76">
        <f t="shared" si="3"/>
        <v>27454000</v>
      </c>
      <c r="AC19" s="73">
        <f t="shared" ref="AC19:AC26" si="4">AVERAGE(S19:AB19)</f>
        <v>32470000</v>
      </c>
      <c r="AD19" s="73">
        <f t="shared" ref="AD19:AD26" si="5">AVERAGE(Q19:Y19)</f>
        <v>37552222.222222224</v>
      </c>
      <c r="AE19" s="96"/>
      <c r="AF19" s="96"/>
      <c r="AG19" s="96"/>
      <c r="AH19" s="96"/>
      <c r="AI19" s="96"/>
      <c r="AJ19" s="96"/>
      <c r="AK19" s="96"/>
      <c r="AL19" s="96"/>
      <c r="AM19" s="96"/>
      <c r="AN19" s="96"/>
      <c r="AO19" s="96"/>
      <c r="AP19" s="96"/>
    </row>
    <row r="20" spans="1:42" hidden="1" outlineLevel="1">
      <c r="A20" s="72" t="s">
        <v>310</v>
      </c>
      <c r="B20" s="1918"/>
      <c r="C20" s="76">
        <f t="shared" ref="C20:AB20" si="6">C8*1000</f>
        <v>27996000</v>
      </c>
      <c r="D20" s="76">
        <f t="shared" si="6"/>
        <v>25598000</v>
      </c>
      <c r="E20" s="76">
        <f t="shared" si="6"/>
        <v>24205000</v>
      </c>
      <c r="F20" s="76">
        <f t="shared" si="6"/>
        <v>23068000</v>
      </c>
      <c r="G20" s="76">
        <f t="shared" si="6"/>
        <v>22743000</v>
      </c>
      <c r="H20" s="76">
        <f t="shared" si="6"/>
        <v>22549000</v>
      </c>
      <c r="I20" s="76">
        <f t="shared" si="6"/>
        <v>20220000</v>
      </c>
      <c r="J20" s="76">
        <f t="shared" si="6"/>
        <v>19014000</v>
      </c>
      <c r="K20" s="76">
        <f t="shared" si="6"/>
        <v>18229000</v>
      </c>
      <c r="L20" s="76">
        <f t="shared" si="6"/>
        <v>17658000</v>
      </c>
      <c r="M20" s="76">
        <f t="shared" si="6"/>
        <v>17094000</v>
      </c>
      <c r="N20" s="76">
        <f t="shared" si="6"/>
        <v>16934000</v>
      </c>
      <c r="O20" s="76">
        <f t="shared" si="6"/>
        <v>15722000</v>
      </c>
      <c r="P20" s="76">
        <f t="shared" si="6"/>
        <v>15748000</v>
      </c>
      <c r="Q20" s="76">
        <f t="shared" si="6"/>
        <v>15564000</v>
      </c>
      <c r="R20" s="76">
        <f t="shared" si="6"/>
        <v>14543000</v>
      </c>
      <c r="S20" s="76">
        <f t="shared" si="6"/>
        <v>13992000</v>
      </c>
      <c r="T20" s="76">
        <f t="shared" si="6"/>
        <v>13883000</v>
      </c>
      <c r="U20" s="76">
        <f t="shared" si="6"/>
        <v>14171000</v>
      </c>
      <c r="V20" s="76">
        <f t="shared" si="6"/>
        <v>15395000</v>
      </c>
      <c r="W20" s="343">
        <f t="shared" si="6"/>
        <v>16051000</v>
      </c>
      <c r="X20" s="343">
        <f t="shared" si="6"/>
        <v>17857000</v>
      </c>
      <c r="Y20" s="343">
        <f t="shared" si="6"/>
        <v>18025000</v>
      </c>
      <c r="Z20" s="343">
        <f t="shared" si="6"/>
        <v>11405000</v>
      </c>
      <c r="AA20" s="343">
        <f t="shared" si="6"/>
        <v>12841000</v>
      </c>
      <c r="AB20" s="343">
        <f t="shared" si="6"/>
        <v>14147000</v>
      </c>
      <c r="AC20" s="73">
        <f t="shared" si="4"/>
        <v>14776700</v>
      </c>
      <c r="AD20" s="73">
        <f t="shared" si="5"/>
        <v>15497888.888888888</v>
      </c>
      <c r="AE20" s="96"/>
      <c r="AF20" s="96"/>
      <c r="AG20" s="96"/>
      <c r="AH20" s="96"/>
      <c r="AI20" s="96"/>
      <c r="AJ20" s="96"/>
      <c r="AK20" s="96"/>
      <c r="AL20" s="96"/>
      <c r="AM20" s="96"/>
      <c r="AN20" s="96"/>
      <c r="AO20" s="96"/>
      <c r="AP20" s="96"/>
    </row>
    <row r="21" spans="1:42" hidden="1" outlineLevel="1">
      <c r="A21" s="72" t="s">
        <v>317</v>
      </c>
      <c r="B21" s="1918"/>
      <c r="C21" s="76">
        <f t="shared" ref="C21:AB21" si="7">C9*1000</f>
        <v>65417000</v>
      </c>
      <c r="D21" s="76">
        <f t="shared" si="7"/>
        <v>63721000</v>
      </c>
      <c r="E21" s="76">
        <f t="shared" si="7"/>
        <v>56295000</v>
      </c>
      <c r="F21" s="76">
        <f t="shared" si="7"/>
        <v>54402000</v>
      </c>
      <c r="G21" s="76">
        <f t="shared" si="7"/>
        <v>52895000</v>
      </c>
      <c r="H21" s="76">
        <f t="shared" si="7"/>
        <v>49858000</v>
      </c>
      <c r="I21" s="76">
        <f t="shared" si="7"/>
        <v>45501000</v>
      </c>
      <c r="J21" s="76">
        <f t="shared" si="7"/>
        <v>42621000</v>
      </c>
      <c r="K21" s="76">
        <f t="shared" si="7"/>
        <v>41219000</v>
      </c>
      <c r="L21" s="76">
        <f t="shared" si="7"/>
        <v>41657000</v>
      </c>
      <c r="M21" s="76">
        <f t="shared" si="7"/>
        <v>40488000</v>
      </c>
      <c r="N21" s="76">
        <f t="shared" si="7"/>
        <v>37667000</v>
      </c>
      <c r="O21" s="76">
        <f t="shared" si="7"/>
        <v>32037000</v>
      </c>
      <c r="P21" s="76">
        <f t="shared" si="7"/>
        <v>29336000</v>
      </c>
      <c r="Q21" s="76">
        <f t="shared" si="7"/>
        <v>29341000</v>
      </c>
      <c r="R21" s="76">
        <f t="shared" si="7"/>
        <v>28046000</v>
      </c>
      <c r="S21" s="76">
        <f t="shared" si="7"/>
        <v>27401000</v>
      </c>
      <c r="T21" s="76">
        <f t="shared" si="7"/>
        <v>26235000</v>
      </c>
      <c r="U21" s="76">
        <f t="shared" si="7"/>
        <v>24286000</v>
      </c>
      <c r="V21" s="76">
        <f t="shared" si="7"/>
        <v>24447000</v>
      </c>
      <c r="W21" s="76">
        <f t="shared" si="7"/>
        <v>23746000</v>
      </c>
      <c r="X21" s="76">
        <f t="shared" si="7"/>
        <v>24185000</v>
      </c>
      <c r="Y21" s="76">
        <f t="shared" si="7"/>
        <v>24474000</v>
      </c>
      <c r="Z21" s="76">
        <f t="shared" si="7"/>
        <v>15070000</v>
      </c>
      <c r="AA21" s="76">
        <f t="shared" si="7"/>
        <v>13840000</v>
      </c>
      <c r="AB21" s="76">
        <f t="shared" si="7"/>
        <v>19454000</v>
      </c>
      <c r="AC21" s="73">
        <f t="shared" si="4"/>
        <v>22313800</v>
      </c>
      <c r="AD21" s="73">
        <f t="shared" si="5"/>
        <v>25795666.666666668</v>
      </c>
      <c r="AE21" s="96"/>
      <c r="AF21" s="96"/>
      <c r="AG21" s="96"/>
      <c r="AH21" s="96"/>
      <c r="AI21" s="96"/>
      <c r="AJ21" s="96"/>
      <c r="AK21" s="96"/>
      <c r="AL21" s="96"/>
      <c r="AM21" s="96"/>
      <c r="AN21" s="96"/>
      <c r="AO21" s="96"/>
      <c r="AP21" s="96"/>
    </row>
    <row r="22" spans="1:42" hidden="1" outlineLevel="1">
      <c r="A22" s="72" t="s">
        <v>313</v>
      </c>
      <c r="B22" s="1918"/>
      <c r="C22" s="76">
        <f t="shared" ref="C22:AB22" si="8">C10*1000</f>
        <v>98377000</v>
      </c>
      <c r="D22" s="76">
        <f t="shared" si="8"/>
        <v>92623000</v>
      </c>
      <c r="E22" s="76">
        <f t="shared" si="8"/>
        <v>86571000</v>
      </c>
      <c r="F22" s="76">
        <f t="shared" si="8"/>
        <v>89209000</v>
      </c>
      <c r="G22" s="76">
        <f t="shared" si="8"/>
        <v>85399000</v>
      </c>
      <c r="H22" s="76">
        <f t="shared" si="8"/>
        <v>75503000</v>
      </c>
      <c r="I22" s="76">
        <f t="shared" si="8"/>
        <v>65293000</v>
      </c>
      <c r="J22" s="76">
        <f t="shared" si="8"/>
        <v>62815000</v>
      </c>
      <c r="K22" s="76">
        <f t="shared" si="8"/>
        <v>61436000</v>
      </c>
      <c r="L22" s="76">
        <f t="shared" si="8"/>
        <v>58066000</v>
      </c>
      <c r="M22" s="76">
        <f t="shared" si="8"/>
        <v>58101000</v>
      </c>
      <c r="N22" s="76">
        <f t="shared" si="8"/>
        <v>60106000</v>
      </c>
      <c r="O22" s="76">
        <f t="shared" si="8"/>
        <v>54651000</v>
      </c>
      <c r="P22" s="76">
        <f t="shared" si="8"/>
        <v>53866000</v>
      </c>
      <c r="Q22" s="76">
        <f t="shared" si="8"/>
        <v>50175000</v>
      </c>
      <c r="R22" s="76">
        <f t="shared" si="8"/>
        <v>48138000</v>
      </c>
      <c r="S22" s="76">
        <f t="shared" si="8"/>
        <v>44332000</v>
      </c>
      <c r="T22" s="76">
        <f t="shared" si="8"/>
        <v>41523000</v>
      </c>
      <c r="U22" s="76">
        <f t="shared" si="8"/>
        <v>41433000</v>
      </c>
      <c r="V22" s="76">
        <f t="shared" si="8"/>
        <v>41465000</v>
      </c>
      <c r="W22" s="76">
        <f t="shared" si="8"/>
        <v>41554000</v>
      </c>
      <c r="X22" s="76">
        <f t="shared" si="8"/>
        <v>41015000</v>
      </c>
      <c r="Y22" s="76">
        <f t="shared" si="8"/>
        <v>39732000</v>
      </c>
      <c r="Z22" s="76">
        <f t="shared" si="8"/>
        <v>27476000</v>
      </c>
      <c r="AA22" s="76">
        <f t="shared" si="8"/>
        <v>26869000</v>
      </c>
      <c r="AB22" s="76">
        <f t="shared" si="8"/>
        <v>16575000</v>
      </c>
      <c r="AC22" s="73">
        <f t="shared" si="4"/>
        <v>36197400</v>
      </c>
      <c r="AD22" s="73">
        <f t="shared" si="5"/>
        <v>43263000</v>
      </c>
      <c r="AE22" s="96"/>
      <c r="AF22" s="96"/>
      <c r="AG22" s="96"/>
      <c r="AH22" s="96"/>
      <c r="AI22" s="96"/>
      <c r="AJ22" s="96"/>
      <c r="AK22" s="96"/>
      <c r="AL22" s="96"/>
      <c r="AM22" s="96"/>
      <c r="AN22" s="96"/>
      <c r="AO22" s="96"/>
      <c r="AP22" s="96"/>
    </row>
    <row r="23" spans="1:42" hidden="1" outlineLevel="1">
      <c r="A23" s="72" t="s">
        <v>316</v>
      </c>
      <c r="B23" s="1918"/>
      <c r="C23" s="76">
        <f t="shared" ref="C23:AB23" si="9">C11*1000</f>
        <v>77579000</v>
      </c>
      <c r="D23" s="76">
        <f t="shared" si="9"/>
        <v>74500000</v>
      </c>
      <c r="E23" s="76">
        <f t="shared" si="9"/>
        <v>78372000</v>
      </c>
      <c r="F23" s="76">
        <f t="shared" si="9"/>
        <v>74613000</v>
      </c>
      <c r="G23" s="76">
        <f t="shared" si="9"/>
        <v>68964000</v>
      </c>
      <c r="H23" s="76">
        <f t="shared" si="9"/>
        <v>68691000</v>
      </c>
      <c r="I23" s="76">
        <f t="shared" si="9"/>
        <v>65809000</v>
      </c>
      <c r="J23" s="76">
        <f t="shared" si="9"/>
        <v>60830000</v>
      </c>
      <c r="K23" s="76">
        <f t="shared" si="9"/>
        <v>56818000</v>
      </c>
      <c r="L23" s="76">
        <f t="shared" si="9"/>
        <v>53369000</v>
      </c>
      <c r="M23" s="76">
        <f t="shared" si="9"/>
        <v>49095000</v>
      </c>
      <c r="N23" s="76">
        <f t="shared" si="9"/>
        <v>45870000</v>
      </c>
      <c r="O23" s="76">
        <f t="shared" si="9"/>
        <v>39604000</v>
      </c>
      <c r="P23" s="76">
        <f t="shared" si="9"/>
        <v>38472000</v>
      </c>
      <c r="Q23" s="76">
        <f t="shared" si="9"/>
        <v>36370000</v>
      </c>
      <c r="R23" s="76">
        <f t="shared" si="9"/>
        <v>35028000</v>
      </c>
      <c r="S23" s="76">
        <f t="shared" si="9"/>
        <v>33131000</v>
      </c>
      <c r="T23" s="76">
        <f t="shared" si="9"/>
        <v>29917000</v>
      </c>
      <c r="U23" s="76">
        <f t="shared" si="9"/>
        <v>28998000</v>
      </c>
      <c r="V23" s="76">
        <f t="shared" si="9"/>
        <v>27470000</v>
      </c>
      <c r="W23" s="76">
        <f t="shared" si="9"/>
        <v>26488000</v>
      </c>
      <c r="X23" s="76">
        <f t="shared" si="9"/>
        <v>25793000</v>
      </c>
      <c r="Y23" s="76">
        <f t="shared" si="9"/>
        <v>25449000</v>
      </c>
      <c r="Z23" s="76">
        <f t="shared" si="9"/>
        <v>15882000</v>
      </c>
      <c r="AA23" s="76">
        <f t="shared" si="9"/>
        <v>16825000</v>
      </c>
      <c r="AB23" s="76">
        <f t="shared" si="9"/>
        <v>21565000</v>
      </c>
      <c r="AC23" s="73">
        <f t="shared" si="4"/>
        <v>25151800</v>
      </c>
      <c r="AD23" s="73">
        <f t="shared" si="5"/>
        <v>29849333.333333332</v>
      </c>
      <c r="AE23" s="96"/>
      <c r="AF23" s="96"/>
      <c r="AG23" s="96"/>
      <c r="AH23" s="96"/>
      <c r="AI23" s="96"/>
      <c r="AJ23" s="96"/>
      <c r="AK23" s="96"/>
      <c r="AL23" s="96"/>
      <c r="AM23" s="96"/>
      <c r="AN23" s="96"/>
      <c r="AO23" s="96"/>
      <c r="AP23" s="96"/>
    </row>
    <row r="24" spans="1:42" hidden="1" outlineLevel="1">
      <c r="A24" s="72" t="s">
        <v>312</v>
      </c>
      <c r="B24" s="1918"/>
      <c r="C24" s="76">
        <f t="shared" ref="C24:AB24" si="10">C12*1000</f>
        <v>92170000</v>
      </c>
      <c r="D24" s="76">
        <f t="shared" si="10"/>
        <v>108239000</v>
      </c>
      <c r="E24" s="76">
        <f t="shared" si="10"/>
        <v>101307000</v>
      </c>
      <c r="F24" s="76">
        <f t="shared" si="10"/>
        <v>100598000</v>
      </c>
      <c r="G24" s="76">
        <f t="shared" si="10"/>
        <v>95495000</v>
      </c>
      <c r="H24" s="76">
        <f t="shared" si="10"/>
        <v>90024000</v>
      </c>
      <c r="I24" s="76">
        <f t="shared" si="10"/>
        <v>81651000</v>
      </c>
      <c r="J24" s="76">
        <f t="shared" si="10"/>
        <v>77397000</v>
      </c>
      <c r="K24" s="76">
        <f t="shared" si="10"/>
        <v>85019000</v>
      </c>
      <c r="L24" s="76">
        <f t="shared" si="10"/>
        <v>65209000</v>
      </c>
      <c r="M24" s="76">
        <f t="shared" si="10"/>
        <v>62301000</v>
      </c>
      <c r="N24" s="76">
        <f t="shared" si="10"/>
        <v>59151000</v>
      </c>
      <c r="O24" s="76">
        <f t="shared" si="10"/>
        <v>53177000</v>
      </c>
      <c r="P24" s="76">
        <f t="shared" si="10"/>
        <v>51506000</v>
      </c>
      <c r="Q24" s="76">
        <f t="shared" si="10"/>
        <v>48242000</v>
      </c>
      <c r="R24" s="76">
        <f t="shared" si="10"/>
        <v>44747000</v>
      </c>
      <c r="S24" s="76">
        <f t="shared" si="10"/>
        <v>42569000</v>
      </c>
      <c r="T24" s="76">
        <f t="shared" si="10"/>
        <v>40313000</v>
      </c>
      <c r="U24" s="76">
        <f t="shared" si="10"/>
        <v>39133000</v>
      </c>
      <c r="V24" s="76">
        <f t="shared" si="10"/>
        <v>37876000</v>
      </c>
      <c r="W24" s="76">
        <f t="shared" si="10"/>
        <v>36590000</v>
      </c>
      <c r="X24" s="76">
        <f t="shared" si="10"/>
        <v>35794000</v>
      </c>
      <c r="Y24" s="76">
        <f t="shared" si="10"/>
        <v>34904000</v>
      </c>
      <c r="Z24" s="76">
        <f t="shared" si="10"/>
        <v>22394000</v>
      </c>
      <c r="AA24" s="76">
        <f t="shared" si="10"/>
        <v>20649000</v>
      </c>
      <c r="AB24" s="76">
        <f t="shared" si="10"/>
        <v>24435000</v>
      </c>
      <c r="AC24" s="73">
        <f t="shared" si="4"/>
        <v>33465700</v>
      </c>
      <c r="AD24" s="73">
        <f t="shared" si="5"/>
        <v>40018666.666666664</v>
      </c>
      <c r="AE24" s="96"/>
      <c r="AF24" s="96"/>
      <c r="AG24" s="96"/>
      <c r="AH24" s="96"/>
      <c r="AI24" s="96"/>
      <c r="AJ24" s="96"/>
      <c r="AK24" s="96"/>
      <c r="AL24" s="96"/>
      <c r="AM24" s="96"/>
      <c r="AN24" s="96"/>
      <c r="AO24" s="96"/>
      <c r="AP24" s="96"/>
    </row>
    <row r="25" spans="1:42" hidden="1" outlineLevel="1">
      <c r="A25" s="72" t="s">
        <v>311</v>
      </c>
      <c r="B25" s="1918"/>
      <c r="C25" s="76">
        <f t="shared" ref="C25:AB25" si="11">C13*1000</f>
        <v>62335000</v>
      </c>
      <c r="D25" s="76">
        <f t="shared" si="11"/>
        <v>61033000</v>
      </c>
      <c r="E25" s="76">
        <f t="shared" si="11"/>
        <v>58316000</v>
      </c>
      <c r="F25" s="76">
        <f t="shared" si="11"/>
        <v>50910000</v>
      </c>
      <c r="G25" s="76">
        <f t="shared" si="11"/>
        <v>47832000</v>
      </c>
      <c r="H25" s="76">
        <f t="shared" si="11"/>
        <v>45047000</v>
      </c>
      <c r="I25" s="76">
        <f t="shared" si="11"/>
        <v>40354000</v>
      </c>
      <c r="J25" s="76">
        <f t="shared" si="11"/>
        <v>37772000</v>
      </c>
      <c r="K25" s="76">
        <f t="shared" si="11"/>
        <v>37549000</v>
      </c>
      <c r="L25" s="76">
        <f t="shared" si="11"/>
        <v>36783000</v>
      </c>
      <c r="M25" s="76">
        <f t="shared" si="11"/>
        <v>35145000</v>
      </c>
      <c r="N25" s="76">
        <f t="shared" si="11"/>
        <v>33071000</v>
      </c>
      <c r="O25" s="76">
        <f t="shared" si="11"/>
        <v>29027000</v>
      </c>
      <c r="P25" s="76">
        <f t="shared" si="11"/>
        <v>28437000</v>
      </c>
      <c r="Q25" s="76">
        <f t="shared" si="11"/>
        <v>27450000</v>
      </c>
      <c r="R25" s="76">
        <f t="shared" si="11"/>
        <v>26441000</v>
      </c>
      <c r="S25" s="76">
        <f t="shared" si="11"/>
        <v>26002000</v>
      </c>
      <c r="T25" s="76">
        <f t="shared" si="11"/>
        <v>24536000</v>
      </c>
      <c r="U25" s="76">
        <f t="shared" si="11"/>
        <v>23831000</v>
      </c>
      <c r="V25" s="76">
        <f t="shared" si="11"/>
        <v>23876000</v>
      </c>
      <c r="W25" s="76">
        <f t="shared" si="11"/>
        <v>25592000</v>
      </c>
      <c r="X25" s="76">
        <f t="shared" si="11"/>
        <v>22843000</v>
      </c>
      <c r="Y25" s="76">
        <f t="shared" si="11"/>
        <v>22808000</v>
      </c>
      <c r="Z25" s="76">
        <f t="shared" si="11"/>
        <v>14499000</v>
      </c>
      <c r="AA25" s="76">
        <f t="shared" si="11"/>
        <v>14278000</v>
      </c>
      <c r="AB25" s="76">
        <f t="shared" si="11"/>
        <v>18269000</v>
      </c>
      <c r="AC25" s="73">
        <f t="shared" si="4"/>
        <v>21653400</v>
      </c>
      <c r="AD25" s="73">
        <f t="shared" si="5"/>
        <v>24819888.888888888</v>
      </c>
      <c r="AE25" s="96"/>
      <c r="AF25" s="96"/>
      <c r="AG25" s="96"/>
      <c r="AH25" s="96"/>
      <c r="AI25" s="96"/>
      <c r="AJ25" s="96"/>
      <c r="AK25" s="96"/>
      <c r="AL25" s="96"/>
      <c r="AM25" s="96"/>
      <c r="AN25" s="96"/>
      <c r="AO25" s="96"/>
      <c r="AP25" s="96"/>
    </row>
    <row r="26" spans="1:42" hidden="1" outlineLevel="1">
      <c r="A26" s="72" t="s">
        <v>314</v>
      </c>
      <c r="B26" s="1919"/>
      <c r="C26" s="76">
        <f t="shared" ref="C26:AB26" si="12">C14*1000</f>
        <v>103113000</v>
      </c>
      <c r="D26" s="76">
        <f t="shared" si="12"/>
        <v>101626000</v>
      </c>
      <c r="E26" s="76">
        <f t="shared" si="12"/>
        <v>96554000</v>
      </c>
      <c r="F26" s="76">
        <f t="shared" si="12"/>
        <v>97491000</v>
      </c>
      <c r="G26" s="76">
        <f t="shared" si="12"/>
        <v>89076000</v>
      </c>
      <c r="H26" s="76">
        <f t="shared" si="12"/>
        <v>86408000</v>
      </c>
      <c r="I26" s="76">
        <f t="shared" si="12"/>
        <v>79103000</v>
      </c>
      <c r="J26" s="76">
        <f t="shared" si="12"/>
        <v>73437000</v>
      </c>
      <c r="K26" s="76">
        <f t="shared" si="12"/>
        <v>69187000</v>
      </c>
      <c r="L26" s="76">
        <f t="shared" si="12"/>
        <v>66704000</v>
      </c>
      <c r="M26" s="76">
        <f t="shared" si="12"/>
        <v>62926000</v>
      </c>
      <c r="N26" s="76">
        <f t="shared" si="12"/>
        <v>58975000</v>
      </c>
      <c r="O26" s="76">
        <f t="shared" si="12"/>
        <v>52904000</v>
      </c>
      <c r="P26" s="76">
        <f t="shared" si="12"/>
        <v>50332000</v>
      </c>
      <c r="Q26" s="76">
        <f t="shared" si="12"/>
        <v>49745000</v>
      </c>
      <c r="R26" s="76">
        <f t="shared" si="12"/>
        <v>50918000</v>
      </c>
      <c r="S26" s="76">
        <f t="shared" si="12"/>
        <v>42578000</v>
      </c>
      <c r="T26" s="76">
        <f t="shared" si="12"/>
        <v>45442000</v>
      </c>
      <c r="U26" s="76">
        <f t="shared" si="12"/>
        <v>38985000</v>
      </c>
      <c r="V26" s="76">
        <f t="shared" si="12"/>
        <v>38332000</v>
      </c>
      <c r="W26" s="76">
        <f t="shared" si="12"/>
        <v>36842000</v>
      </c>
      <c r="X26" s="76">
        <f t="shared" si="12"/>
        <v>36518000</v>
      </c>
      <c r="Y26" s="76">
        <f t="shared" si="12"/>
        <v>36231000</v>
      </c>
      <c r="Z26" s="76">
        <f t="shared" si="12"/>
        <v>22767000</v>
      </c>
      <c r="AA26" s="76">
        <f t="shared" si="12"/>
        <v>21290000</v>
      </c>
      <c r="AB26" s="76">
        <f t="shared" si="12"/>
        <v>23143000</v>
      </c>
      <c r="AC26" s="73">
        <f t="shared" si="4"/>
        <v>34212800</v>
      </c>
      <c r="AD26" s="73">
        <f t="shared" si="5"/>
        <v>41732333.333333336</v>
      </c>
      <c r="AE26" s="96"/>
      <c r="AF26" s="96"/>
      <c r="AG26" s="96"/>
      <c r="AH26" s="96"/>
      <c r="AI26" s="96"/>
      <c r="AJ26" s="96"/>
      <c r="AK26" s="96"/>
      <c r="AL26" s="96"/>
      <c r="AM26" s="96"/>
      <c r="AN26" s="96"/>
      <c r="AO26" s="96"/>
      <c r="AP26" s="96"/>
    </row>
    <row r="27" spans="1:42" s="61" customFormat="1" collapsed="1">
      <c r="A27" s="74" t="s">
        <v>203</v>
      </c>
      <c r="B27" s="74"/>
      <c r="C27" s="75">
        <f t="shared" ref="C27:AD27" si="13">SUM(C19:C26)</f>
        <v>667427000</v>
      </c>
      <c r="D27" s="75">
        <f t="shared" si="13"/>
        <v>657775000</v>
      </c>
      <c r="E27" s="75">
        <f t="shared" si="13"/>
        <v>621567000</v>
      </c>
      <c r="F27" s="75">
        <f t="shared" si="13"/>
        <v>604249000</v>
      </c>
      <c r="G27" s="75">
        <f t="shared" si="13"/>
        <v>566445000</v>
      </c>
      <c r="H27" s="75">
        <f t="shared" si="13"/>
        <v>536613000</v>
      </c>
      <c r="I27" s="75">
        <f t="shared" si="13"/>
        <v>493706000</v>
      </c>
      <c r="J27" s="75">
        <f t="shared" si="13"/>
        <v>461772000</v>
      </c>
      <c r="K27" s="75">
        <f t="shared" si="13"/>
        <v>449456000</v>
      </c>
      <c r="L27" s="75">
        <f t="shared" si="13"/>
        <v>403270000</v>
      </c>
      <c r="M27" s="75">
        <f t="shared" si="13"/>
        <v>384637000</v>
      </c>
      <c r="N27" s="75">
        <f t="shared" si="13"/>
        <v>365519000</v>
      </c>
      <c r="O27" s="75">
        <f t="shared" si="13"/>
        <v>323142000</v>
      </c>
      <c r="P27" s="75">
        <f t="shared" si="13"/>
        <v>312717000</v>
      </c>
      <c r="Q27" s="75">
        <f t="shared" si="13"/>
        <v>299579000</v>
      </c>
      <c r="R27" s="75">
        <f t="shared" si="13"/>
        <v>289228000</v>
      </c>
      <c r="S27" s="75">
        <f t="shared" si="13"/>
        <v>270123000</v>
      </c>
      <c r="T27" s="75">
        <f t="shared" si="13"/>
        <v>260022000</v>
      </c>
      <c r="U27" s="75">
        <f t="shared" si="13"/>
        <v>247765000</v>
      </c>
      <c r="V27" s="75">
        <f t="shared" si="13"/>
        <v>244295000</v>
      </c>
      <c r="W27" s="75">
        <f t="shared" si="13"/>
        <v>241714000</v>
      </c>
      <c r="X27" s="75">
        <f t="shared" si="13"/>
        <v>238501000</v>
      </c>
      <c r="Y27" s="75">
        <f t="shared" si="13"/>
        <v>235534000</v>
      </c>
      <c r="Z27" s="75">
        <f t="shared" si="13"/>
        <v>151293000</v>
      </c>
      <c r="AA27" s="75">
        <f t="shared" si="13"/>
        <v>148127000</v>
      </c>
      <c r="AB27" s="75">
        <f t="shared" si="13"/>
        <v>165042000</v>
      </c>
      <c r="AC27" s="75">
        <f t="shared" si="13"/>
        <v>220241600</v>
      </c>
      <c r="AD27" s="75">
        <f t="shared" si="13"/>
        <v>258529000</v>
      </c>
      <c r="AE27" s="97"/>
      <c r="AF27" s="97"/>
      <c r="AG27" s="97"/>
      <c r="AH27" s="97"/>
      <c r="AI27" s="97"/>
      <c r="AJ27" s="97"/>
      <c r="AK27" s="97"/>
      <c r="AL27" s="97"/>
      <c r="AM27" s="97"/>
      <c r="AN27" s="97"/>
      <c r="AO27" s="97"/>
      <c r="AP27" s="97"/>
    </row>
    <row r="29" spans="1:42">
      <c r="A29" s="71">
        <v>3</v>
      </c>
      <c r="B29" s="71" t="s">
        <v>494</v>
      </c>
      <c r="C29" s="1910" t="s">
        <v>319</v>
      </c>
      <c r="D29" s="1910"/>
      <c r="E29" s="1910"/>
      <c r="F29" s="1910"/>
      <c r="G29" s="1910"/>
      <c r="H29" s="1910"/>
      <c r="I29" s="1910"/>
      <c r="J29" s="1910"/>
      <c r="K29" s="1910"/>
      <c r="L29" s="1910"/>
      <c r="M29" s="1910"/>
      <c r="N29" s="1910"/>
      <c r="O29" s="1910"/>
      <c r="P29" s="1910"/>
      <c r="Q29" s="1910"/>
      <c r="R29" s="1910"/>
      <c r="S29" s="1910"/>
      <c r="T29" s="1910"/>
      <c r="U29" s="1910"/>
      <c r="V29" s="1910"/>
      <c r="W29" s="1910"/>
      <c r="X29" s="1910"/>
      <c r="Y29" s="1910"/>
      <c r="Z29" s="1910"/>
      <c r="AA29" s="1910"/>
      <c r="AB29" s="1910"/>
      <c r="AC29" s="86"/>
      <c r="AD29" s="86"/>
      <c r="AE29" s="96"/>
      <c r="AF29" s="96"/>
      <c r="AG29" s="96"/>
      <c r="AH29" s="96"/>
      <c r="AI29" s="96"/>
      <c r="AJ29" s="96"/>
      <c r="AK29" s="96"/>
      <c r="AL29" s="96"/>
      <c r="AM29" s="96"/>
      <c r="AN29" s="96"/>
      <c r="AO29" s="96"/>
      <c r="AP29" s="96"/>
    </row>
    <row r="30" spans="1:42">
      <c r="A30" s="71"/>
      <c r="B30" s="71"/>
      <c r="C30" s="72" t="s">
        <v>284</v>
      </c>
      <c r="D30" s="72" t="s">
        <v>285</v>
      </c>
      <c r="E30" s="72" t="s">
        <v>286</v>
      </c>
      <c r="F30" s="72" t="s">
        <v>287</v>
      </c>
      <c r="G30" s="72" t="s">
        <v>288</v>
      </c>
      <c r="H30" s="72" t="s">
        <v>289</v>
      </c>
      <c r="I30" s="72" t="s">
        <v>290</v>
      </c>
      <c r="J30" s="72" t="s">
        <v>291</v>
      </c>
      <c r="K30" s="72" t="s">
        <v>292</v>
      </c>
      <c r="L30" s="72" t="s">
        <v>293</v>
      </c>
      <c r="M30" s="72" t="s">
        <v>294</v>
      </c>
      <c r="N30" s="72" t="s">
        <v>295</v>
      </c>
      <c r="O30" s="72" t="s">
        <v>296</v>
      </c>
      <c r="P30" s="72" t="s">
        <v>297</v>
      </c>
      <c r="Q30" s="72" t="s">
        <v>298</v>
      </c>
      <c r="R30" s="72" t="s">
        <v>299</v>
      </c>
      <c r="S30" s="72" t="s">
        <v>300</v>
      </c>
      <c r="T30" s="72" t="s">
        <v>301</v>
      </c>
      <c r="U30" s="72" t="s">
        <v>302</v>
      </c>
      <c r="V30" s="72" t="s">
        <v>303</v>
      </c>
      <c r="W30" s="72" t="s">
        <v>304</v>
      </c>
      <c r="X30" s="72" t="s">
        <v>305</v>
      </c>
      <c r="Y30" s="72" t="s">
        <v>306</v>
      </c>
      <c r="Z30" s="72" t="s">
        <v>307</v>
      </c>
      <c r="AA30" s="72" t="s">
        <v>308</v>
      </c>
      <c r="AB30" s="72" t="s">
        <v>309</v>
      </c>
      <c r="AC30" s="72" t="s">
        <v>351</v>
      </c>
      <c r="AD30" s="72" t="s">
        <v>352</v>
      </c>
      <c r="AE30" s="72" t="s">
        <v>340</v>
      </c>
      <c r="AF30" s="72" t="s">
        <v>341</v>
      </c>
      <c r="AG30" s="72" t="s">
        <v>342</v>
      </c>
      <c r="AH30" s="72" t="s">
        <v>343</v>
      </c>
      <c r="AI30" s="72" t="s">
        <v>344</v>
      </c>
      <c r="AJ30" s="72" t="s">
        <v>345</v>
      </c>
      <c r="AK30" s="72" t="s">
        <v>346</v>
      </c>
      <c r="AL30" s="72" t="s">
        <v>347</v>
      </c>
      <c r="AM30" s="72" t="s">
        <v>348</v>
      </c>
      <c r="AN30" s="72" t="s">
        <v>349</v>
      </c>
      <c r="AO30" s="72" t="s">
        <v>350</v>
      </c>
      <c r="AP30" s="72" t="s">
        <v>353</v>
      </c>
    </row>
    <row r="31" spans="1:42" hidden="1" outlineLevel="1">
      <c r="A31" s="72" t="s">
        <v>315</v>
      </c>
      <c r="B31" s="1917" t="s">
        <v>339</v>
      </c>
      <c r="C31" s="76"/>
      <c r="D31" s="76">
        <f t="shared" ref="D31:AB31" si="14">D19-C19</f>
        <v>-10005000</v>
      </c>
      <c r="E31" s="76">
        <f t="shared" si="14"/>
        <v>-10488000</v>
      </c>
      <c r="F31" s="76">
        <f t="shared" si="14"/>
        <v>-5989000</v>
      </c>
      <c r="G31" s="76">
        <f t="shared" si="14"/>
        <v>-9917000</v>
      </c>
      <c r="H31" s="76">
        <f t="shared" si="14"/>
        <v>-5508000</v>
      </c>
      <c r="I31" s="76">
        <f t="shared" si="14"/>
        <v>-2758000</v>
      </c>
      <c r="J31" s="76">
        <f t="shared" si="14"/>
        <v>-7889000</v>
      </c>
      <c r="K31" s="76">
        <f t="shared" si="14"/>
        <v>-7887000</v>
      </c>
      <c r="L31" s="76">
        <f t="shared" si="14"/>
        <v>-16175000</v>
      </c>
      <c r="M31" s="76">
        <f t="shared" si="14"/>
        <v>-4337000</v>
      </c>
      <c r="N31" s="76">
        <f t="shared" si="14"/>
        <v>-5742000</v>
      </c>
      <c r="O31" s="76">
        <f t="shared" si="14"/>
        <v>-7725000</v>
      </c>
      <c r="P31" s="76">
        <f t="shared" si="14"/>
        <v>-1000000</v>
      </c>
      <c r="Q31" s="76">
        <f t="shared" si="14"/>
        <v>-2328000</v>
      </c>
      <c r="R31" s="76">
        <f t="shared" si="14"/>
        <v>-1325000</v>
      </c>
      <c r="S31" s="76">
        <f t="shared" si="14"/>
        <v>-1249000</v>
      </c>
      <c r="T31" s="76">
        <f t="shared" si="14"/>
        <v>-1945000</v>
      </c>
      <c r="U31" s="76">
        <f t="shared" si="14"/>
        <v>-1245000</v>
      </c>
      <c r="V31" s="76">
        <f t="shared" si="14"/>
        <v>-1494000</v>
      </c>
      <c r="W31" s="76">
        <f t="shared" si="14"/>
        <v>-583000</v>
      </c>
      <c r="X31" s="76">
        <f t="shared" si="14"/>
        <v>-355000</v>
      </c>
      <c r="Y31" s="76">
        <f t="shared" si="14"/>
        <v>-585000</v>
      </c>
      <c r="Z31" s="76">
        <f t="shared" si="14"/>
        <v>-12111000</v>
      </c>
      <c r="AA31" s="76">
        <f t="shared" si="14"/>
        <v>-265000</v>
      </c>
      <c r="AB31" s="76">
        <f t="shared" si="14"/>
        <v>5919000</v>
      </c>
      <c r="AC31" s="73">
        <f t="shared" ref="AC31:AC38" si="15">AVERAGE(S31:AB31)</f>
        <v>-1391300</v>
      </c>
      <c r="AD31" s="73">
        <f t="shared" ref="AD31:AD38" si="16">AVERAGE(Q31:Y31)</f>
        <v>-1234333.3333333333</v>
      </c>
      <c r="AE31" s="96"/>
      <c r="AF31" s="96"/>
      <c r="AG31" s="96"/>
      <c r="AH31" s="96"/>
      <c r="AI31" s="96"/>
      <c r="AJ31" s="96"/>
      <c r="AK31" s="96"/>
      <c r="AL31" s="96"/>
      <c r="AM31" s="96"/>
      <c r="AN31" s="96"/>
      <c r="AO31" s="96"/>
      <c r="AP31" s="96"/>
    </row>
    <row r="32" spans="1:42" hidden="1" outlineLevel="1">
      <c r="A32" s="72" t="s">
        <v>310</v>
      </c>
      <c r="B32" s="1918"/>
      <c r="C32" s="76"/>
      <c r="D32" s="76">
        <f t="shared" ref="D32:AB32" si="17">D20-C20</f>
        <v>-2398000</v>
      </c>
      <c r="E32" s="76">
        <f t="shared" si="17"/>
        <v>-1393000</v>
      </c>
      <c r="F32" s="76">
        <f t="shared" si="17"/>
        <v>-1137000</v>
      </c>
      <c r="G32" s="76">
        <f t="shared" si="17"/>
        <v>-325000</v>
      </c>
      <c r="H32" s="76">
        <f t="shared" si="17"/>
        <v>-194000</v>
      </c>
      <c r="I32" s="76">
        <f t="shared" si="17"/>
        <v>-2329000</v>
      </c>
      <c r="J32" s="76">
        <f t="shared" si="17"/>
        <v>-1206000</v>
      </c>
      <c r="K32" s="76">
        <f t="shared" si="17"/>
        <v>-785000</v>
      </c>
      <c r="L32" s="76">
        <f t="shared" si="17"/>
        <v>-571000</v>
      </c>
      <c r="M32" s="76">
        <f t="shared" si="17"/>
        <v>-564000</v>
      </c>
      <c r="N32" s="76">
        <f t="shared" si="17"/>
        <v>-160000</v>
      </c>
      <c r="O32" s="76">
        <f t="shared" si="17"/>
        <v>-1212000</v>
      </c>
      <c r="P32" s="76">
        <f t="shared" si="17"/>
        <v>26000</v>
      </c>
      <c r="Q32" s="76">
        <f t="shared" si="17"/>
        <v>-184000</v>
      </c>
      <c r="R32" s="76">
        <f t="shared" si="17"/>
        <v>-1021000</v>
      </c>
      <c r="S32" s="76">
        <f t="shared" si="17"/>
        <v>-551000</v>
      </c>
      <c r="T32" s="76">
        <f t="shared" si="17"/>
        <v>-109000</v>
      </c>
      <c r="U32" s="76">
        <f t="shared" si="17"/>
        <v>288000</v>
      </c>
      <c r="V32" s="76">
        <f t="shared" si="17"/>
        <v>1224000</v>
      </c>
      <c r="W32" s="76">
        <f t="shared" si="17"/>
        <v>656000</v>
      </c>
      <c r="X32" s="76">
        <f t="shared" si="17"/>
        <v>1806000</v>
      </c>
      <c r="Y32" s="76">
        <f t="shared" si="17"/>
        <v>168000</v>
      </c>
      <c r="Z32" s="76">
        <f t="shared" si="17"/>
        <v>-6620000</v>
      </c>
      <c r="AA32" s="76">
        <f t="shared" si="17"/>
        <v>1436000</v>
      </c>
      <c r="AB32" s="76">
        <f t="shared" si="17"/>
        <v>1306000</v>
      </c>
      <c r="AC32" s="73">
        <f t="shared" si="15"/>
        <v>-39600</v>
      </c>
      <c r="AD32" s="73">
        <f t="shared" si="16"/>
        <v>253000</v>
      </c>
      <c r="AE32" s="96"/>
      <c r="AF32" s="96"/>
      <c r="AG32" s="96"/>
      <c r="AH32" s="96"/>
      <c r="AI32" s="96"/>
      <c r="AJ32" s="96"/>
      <c r="AK32" s="96"/>
      <c r="AL32" s="96"/>
      <c r="AM32" s="96"/>
      <c r="AN32" s="96"/>
      <c r="AO32" s="96"/>
      <c r="AP32" s="96"/>
    </row>
    <row r="33" spans="1:42" hidden="1" outlineLevel="1">
      <c r="A33" s="72" t="s">
        <v>317</v>
      </c>
      <c r="B33" s="1918"/>
      <c r="C33" s="76"/>
      <c r="D33" s="76">
        <f t="shared" ref="D33:AB33" si="18">D21-C21</f>
        <v>-1696000</v>
      </c>
      <c r="E33" s="76">
        <f t="shared" si="18"/>
        <v>-7426000</v>
      </c>
      <c r="F33" s="76">
        <f t="shared" si="18"/>
        <v>-1893000</v>
      </c>
      <c r="G33" s="76">
        <f t="shared" si="18"/>
        <v>-1507000</v>
      </c>
      <c r="H33" s="76">
        <f t="shared" si="18"/>
        <v>-3037000</v>
      </c>
      <c r="I33" s="76">
        <f t="shared" si="18"/>
        <v>-4357000</v>
      </c>
      <c r="J33" s="76">
        <f t="shared" si="18"/>
        <v>-2880000</v>
      </c>
      <c r="K33" s="76">
        <f t="shared" si="18"/>
        <v>-1402000</v>
      </c>
      <c r="L33" s="76">
        <f t="shared" si="18"/>
        <v>438000</v>
      </c>
      <c r="M33" s="76">
        <f t="shared" si="18"/>
        <v>-1169000</v>
      </c>
      <c r="N33" s="76">
        <f t="shared" si="18"/>
        <v>-2821000</v>
      </c>
      <c r="O33" s="76">
        <f t="shared" si="18"/>
        <v>-5630000</v>
      </c>
      <c r="P33" s="76">
        <f t="shared" si="18"/>
        <v>-2701000</v>
      </c>
      <c r="Q33" s="76">
        <f t="shared" si="18"/>
        <v>5000</v>
      </c>
      <c r="R33" s="76">
        <f t="shared" si="18"/>
        <v>-1295000</v>
      </c>
      <c r="S33" s="76">
        <f t="shared" si="18"/>
        <v>-645000</v>
      </c>
      <c r="T33" s="76">
        <f t="shared" si="18"/>
        <v>-1166000</v>
      </c>
      <c r="U33" s="76">
        <f t="shared" si="18"/>
        <v>-1949000</v>
      </c>
      <c r="V33" s="76">
        <f t="shared" si="18"/>
        <v>161000</v>
      </c>
      <c r="W33" s="76">
        <f t="shared" si="18"/>
        <v>-701000</v>
      </c>
      <c r="X33" s="76">
        <f t="shared" si="18"/>
        <v>439000</v>
      </c>
      <c r="Y33" s="76">
        <f t="shared" si="18"/>
        <v>289000</v>
      </c>
      <c r="Z33" s="76">
        <f t="shared" si="18"/>
        <v>-9404000</v>
      </c>
      <c r="AA33" s="76">
        <f t="shared" si="18"/>
        <v>-1230000</v>
      </c>
      <c r="AB33" s="76">
        <f t="shared" si="18"/>
        <v>5614000</v>
      </c>
      <c r="AC33" s="73">
        <f t="shared" si="15"/>
        <v>-859200</v>
      </c>
      <c r="AD33" s="73">
        <f t="shared" si="16"/>
        <v>-540222.22222222225</v>
      </c>
      <c r="AE33" s="96"/>
      <c r="AF33" s="96"/>
      <c r="AG33" s="96"/>
      <c r="AH33" s="96"/>
      <c r="AI33" s="96"/>
      <c r="AJ33" s="96"/>
      <c r="AK33" s="96"/>
      <c r="AL33" s="96"/>
      <c r="AM33" s="96"/>
      <c r="AN33" s="96"/>
      <c r="AO33" s="96"/>
      <c r="AP33" s="96"/>
    </row>
    <row r="34" spans="1:42" hidden="1" outlineLevel="1">
      <c r="A34" s="72" t="s">
        <v>313</v>
      </c>
      <c r="B34" s="1918"/>
      <c r="C34" s="76"/>
      <c r="D34" s="76">
        <f t="shared" ref="D34:AB34" si="19">D22-C22</f>
        <v>-5754000</v>
      </c>
      <c r="E34" s="76">
        <f t="shared" si="19"/>
        <v>-6052000</v>
      </c>
      <c r="F34" s="76">
        <f t="shared" si="19"/>
        <v>2638000</v>
      </c>
      <c r="G34" s="76">
        <f t="shared" si="19"/>
        <v>-3810000</v>
      </c>
      <c r="H34" s="76">
        <f t="shared" si="19"/>
        <v>-9896000</v>
      </c>
      <c r="I34" s="76">
        <f t="shared" si="19"/>
        <v>-10210000</v>
      </c>
      <c r="J34" s="76">
        <f t="shared" si="19"/>
        <v>-2478000</v>
      </c>
      <c r="K34" s="76">
        <f t="shared" si="19"/>
        <v>-1379000</v>
      </c>
      <c r="L34" s="76">
        <f t="shared" si="19"/>
        <v>-3370000</v>
      </c>
      <c r="M34" s="76">
        <f t="shared" si="19"/>
        <v>35000</v>
      </c>
      <c r="N34" s="76">
        <f t="shared" si="19"/>
        <v>2005000</v>
      </c>
      <c r="O34" s="76">
        <f t="shared" si="19"/>
        <v>-5455000</v>
      </c>
      <c r="P34" s="76">
        <f t="shared" si="19"/>
        <v>-785000</v>
      </c>
      <c r="Q34" s="76">
        <f t="shared" si="19"/>
        <v>-3691000</v>
      </c>
      <c r="R34" s="76">
        <f t="shared" si="19"/>
        <v>-2037000</v>
      </c>
      <c r="S34" s="76">
        <f t="shared" si="19"/>
        <v>-3806000</v>
      </c>
      <c r="T34" s="76">
        <f t="shared" si="19"/>
        <v>-2809000</v>
      </c>
      <c r="U34" s="76">
        <f t="shared" si="19"/>
        <v>-90000</v>
      </c>
      <c r="V34" s="76">
        <f t="shared" si="19"/>
        <v>32000</v>
      </c>
      <c r="W34" s="76">
        <f t="shared" si="19"/>
        <v>89000</v>
      </c>
      <c r="X34" s="76">
        <f t="shared" si="19"/>
        <v>-539000</v>
      </c>
      <c r="Y34" s="76">
        <f t="shared" si="19"/>
        <v>-1283000</v>
      </c>
      <c r="Z34" s="76">
        <f t="shared" si="19"/>
        <v>-12256000</v>
      </c>
      <c r="AA34" s="76">
        <f t="shared" si="19"/>
        <v>-607000</v>
      </c>
      <c r="AB34" s="76">
        <f t="shared" si="19"/>
        <v>-10294000</v>
      </c>
      <c r="AC34" s="73">
        <f t="shared" si="15"/>
        <v>-3156300</v>
      </c>
      <c r="AD34" s="73">
        <f t="shared" si="16"/>
        <v>-1570444.4444444445</v>
      </c>
      <c r="AE34" s="96"/>
      <c r="AF34" s="96"/>
      <c r="AG34" s="96"/>
      <c r="AH34" s="96"/>
      <c r="AI34" s="96"/>
      <c r="AJ34" s="96"/>
      <c r="AK34" s="96"/>
      <c r="AL34" s="96"/>
      <c r="AM34" s="96"/>
      <c r="AN34" s="96"/>
      <c r="AO34" s="96"/>
      <c r="AP34" s="96"/>
    </row>
    <row r="35" spans="1:42" hidden="1" outlineLevel="1">
      <c r="A35" s="72" t="s">
        <v>316</v>
      </c>
      <c r="B35" s="1918"/>
      <c r="C35" s="76"/>
      <c r="D35" s="76">
        <f t="shared" ref="D35:AB35" si="20">D23-C23</f>
        <v>-3079000</v>
      </c>
      <c r="E35" s="76">
        <f t="shared" si="20"/>
        <v>3872000</v>
      </c>
      <c r="F35" s="76">
        <f t="shared" si="20"/>
        <v>-3759000</v>
      </c>
      <c r="G35" s="76">
        <f t="shared" si="20"/>
        <v>-5649000</v>
      </c>
      <c r="H35" s="76">
        <f t="shared" si="20"/>
        <v>-273000</v>
      </c>
      <c r="I35" s="76">
        <f t="shared" si="20"/>
        <v>-2882000</v>
      </c>
      <c r="J35" s="76">
        <f t="shared" si="20"/>
        <v>-4979000</v>
      </c>
      <c r="K35" s="76">
        <f t="shared" si="20"/>
        <v>-4012000</v>
      </c>
      <c r="L35" s="76">
        <f t="shared" si="20"/>
        <v>-3449000</v>
      </c>
      <c r="M35" s="76">
        <f t="shared" si="20"/>
        <v>-4274000</v>
      </c>
      <c r="N35" s="76">
        <f t="shared" si="20"/>
        <v>-3225000</v>
      </c>
      <c r="O35" s="76">
        <f t="shared" si="20"/>
        <v>-6266000</v>
      </c>
      <c r="P35" s="76">
        <f t="shared" si="20"/>
        <v>-1132000</v>
      </c>
      <c r="Q35" s="76">
        <f t="shared" si="20"/>
        <v>-2102000</v>
      </c>
      <c r="R35" s="76">
        <f t="shared" si="20"/>
        <v>-1342000</v>
      </c>
      <c r="S35" s="76">
        <f t="shared" si="20"/>
        <v>-1897000</v>
      </c>
      <c r="T35" s="76">
        <f t="shared" si="20"/>
        <v>-3214000</v>
      </c>
      <c r="U35" s="76">
        <f t="shared" si="20"/>
        <v>-919000</v>
      </c>
      <c r="V35" s="76">
        <f t="shared" si="20"/>
        <v>-1528000</v>
      </c>
      <c r="W35" s="76">
        <f t="shared" si="20"/>
        <v>-982000</v>
      </c>
      <c r="X35" s="76">
        <f t="shared" si="20"/>
        <v>-695000</v>
      </c>
      <c r="Y35" s="76">
        <f t="shared" si="20"/>
        <v>-344000</v>
      </c>
      <c r="Z35" s="76">
        <f t="shared" si="20"/>
        <v>-9567000</v>
      </c>
      <c r="AA35" s="76">
        <f t="shared" si="20"/>
        <v>943000</v>
      </c>
      <c r="AB35" s="76">
        <f t="shared" si="20"/>
        <v>4740000</v>
      </c>
      <c r="AC35" s="73">
        <f t="shared" si="15"/>
        <v>-1346300</v>
      </c>
      <c r="AD35" s="73">
        <f t="shared" si="16"/>
        <v>-1447000</v>
      </c>
      <c r="AE35" s="96"/>
      <c r="AF35" s="96"/>
      <c r="AG35" s="96"/>
      <c r="AH35" s="96"/>
      <c r="AI35" s="96"/>
      <c r="AJ35" s="96"/>
      <c r="AK35" s="96"/>
      <c r="AL35" s="96"/>
      <c r="AM35" s="96"/>
      <c r="AN35" s="96"/>
      <c r="AO35" s="96"/>
      <c r="AP35" s="96"/>
    </row>
    <row r="36" spans="1:42" hidden="1" outlineLevel="1">
      <c r="A36" s="72" t="s">
        <v>312</v>
      </c>
      <c r="B36" s="1918"/>
      <c r="C36" s="76"/>
      <c r="D36" s="76">
        <f t="shared" ref="D36:AB36" si="21">D24-C24</f>
        <v>16069000</v>
      </c>
      <c r="E36" s="76">
        <f t="shared" si="21"/>
        <v>-6932000</v>
      </c>
      <c r="F36" s="76">
        <f t="shared" si="21"/>
        <v>-709000</v>
      </c>
      <c r="G36" s="76">
        <f t="shared" si="21"/>
        <v>-5103000</v>
      </c>
      <c r="H36" s="76">
        <f t="shared" si="21"/>
        <v>-5471000</v>
      </c>
      <c r="I36" s="76">
        <f t="shared" si="21"/>
        <v>-8373000</v>
      </c>
      <c r="J36" s="76">
        <f t="shared" si="21"/>
        <v>-4254000</v>
      </c>
      <c r="K36" s="76">
        <f t="shared" si="21"/>
        <v>7622000</v>
      </c>
      <c r="L36" s="76">
        <f t="shared" si="21"/>
        <v>-19810000</v>
      </c>
      <c r="M36" s="76">
        <f t="shared" si="21"/>
        <v>-2908000</v>
      </c>
      <c r="N36" s="76">
        <f t="shared" si="21"/>
        <v>-3150000</v>
      </c>
      <c r="O36" s="76">
        <f t="shared" si="21"/>
        <v>-5974000</v>
      </c>
      <c r="P36" s="76">
        <f t="shared" si="21"/>
        <v>-1671000</v>
      </c>
      <c r="Q36" s="76">
        <f t="shared" si="21"/>
        <v>-3264000</v>
      </c>
      <c r="R36" s="76">
        <f t="shared" si="21"/>
        <v>-3495000</v>
      </c>
      <c r="S36" s="76">
        <f t="shared" si="21"/>
        <v>-2178000</v>
      </c>
      <c r="T36" s="76">
        <f t="shared" si="21"/>
        <v>-2256000</v>
      </c>
      <c r="U36" s="76">
        <f t="shared" si="21"/>
        <v>-1180000</v>
      </c>
      <c r="V36" s="76">
        <f t="shared" si="21"/>
        <v>-1257000</v>
      </c>
      <c r="W36" s="76">
        <f t="shared" si="21"/>
        <v>-1286000</v>
      </c>
      <c r="X36" s="76">
        <f t="shared" si="21"/>
        <v>-796000</v>
      </c>
      <c r="Y36" s="76">
        <f t="shared" si="21"/>
        <v>-890000</v>
      </c>
      <c r="Z36" s="76">
        <f t="shared" si="21"/>
        <v>-12510000</v>
      </c>
      <c r="AA36" s="76">
        <f t="shared" si="21"/>
        <v>-1745000</v>
      </c>
      <c r="AB36" s="76">
        <f t="shared" si="21"/>
        <v>3786000</v>
      </c>
      <c r="AC36" s="73">
        <f t="shared" si="15"/>
        <v>-2031200</v>
      </c>
      <c r="AD36" s="73">
        <f t="shared" si="16"/>
        <v>-1844666.6666666667</v>
      </c>
      <c r="AE36" s="96"/>
      <c r="AF36" s="96"/>
      <c r="AG36" s="96"/>
      <c r="AH36" s="96"/>
      <c r="AI36" s="96"/>
      <c r="AJ36" s="96"/>
      <c r="AK36" s="96"/>
      <c r="AL36" s="96"/>
      <c r="AM36" s="96"/>
      <c r="AN36" s="96"/>
      <c r="AO36" s="96"/>
      <c r="AP36" s="96"/>
    </row>
    <row r="37" spans="1:42" hidden="1" outlineLevel="1">
      <c r="A37" s="72" t="s">
        <v>311</v>
      </c>
      <c r="B37" s="1918"/>
      <c r="C37" s="76"/>
      <c r="D37" s="76">
        <f t="shared" ref="D37:AB37" si="22">D25-C25</f>
        <v>-1302000</v>
      </c>
      <c r="E37" s="76">
        <f t="shared" si="22"/>
        <v>-2717000</v>
      </c>
      <c r="F37" s="76">
        <f t="shared" si="22"/>
        <v>-7406000</v>
      </c>
      <c r="G37" s="76">
        <f t="shared" si="22"/>
        <v>-3078000</v>
      </c>
      <c r="H37" s="76">
        <f t="shared" si="22"/>
        <v>-2785000</v>
      </c>
      <c r="I37" s="76">
        <f t="shared" si="22"/>
        <v>-4693000</v>
      </c>
      <c r="J37" s="76">
        <f t="shared" si="22"/>
        <v>-2582000</v>
      </c>
      <c r="K37" s="76">
        <f t="shared" si="22"/>
        <v>-223000</v>
      </c>
      <c r="L37" s="76">
        <f t="shared" si="22"/>
        <v>-766000</v>
      </c>
      <c r="M37" s="76">
        <f t="shared" si="22"/>
        <v>-1638000</v>
      </c>
      <c r="N37" s="76">
        <f t="shared" si="22"/>
        <v>-2074000</v>
      </c>
      <c r="O37" s="76">
        <f t="shared" si="22"/>
        <v>-4044000</v>
      </c>
      <c r="P37" s="76">
        <f t="shared" si="22"/>
        <v>-590000</v>
      </c>
      <c r="Q37" s="76">
        <f t="shared" si="22"/>
        <v>-987000</v>
      </c>
      <c r="R37" s="76">
        <f t="shared" si="22"/>
        <v>-1009000</v>
      </c>
      <c r="S37" s="76">
        <f t="shared" si="22"/>
        <v>-439000</v>
      </c>
      <c r="T37" s="76">
        <f t="shared" si="22"/>
        <v>-1466000</v>
      </c>
      <c r="U37" s="76">
        <f t="shared" si="22"/>
        <v>-705000</v>
      </c>
      <c r="V37" s="76">
        <f t="shared" si="22"/>
        <v>45000</v>
      </c>
      <c r="W37" s="76">
        <f t="shared" si="22"/>
        <v>1716000</v>
      </c>
      <c r="X37" s="76">
        <f t="shared" si="22"/>
        <v>-2749000</v>
      </c>
      <c r="Y37" s="76">
        <f t="shared" si="22"/>
        <v>-35000</v>
      </c>
      <c r="Z37" s="76">
        <f t="shared" si="22"/>
        <v>-8309000</v>
      </c>
      <c r="AA37" s="76">
        <f t="shared" si="22"/>
        <v>-221000</v>
      </c>
      <c r="AB37" s="76">
        <f t="shared" si="22"/>
        <v>3991000</v>
      </c>
      <c r="AC37" s="73">
        <f t="shared" si="15"/>
        <v>-817200</v>
      </c>
      <c r="AD37" s="73">
        <f t="shared" si="16"/>
        <v>-625444.4444444445</v>
      </c>
      <c r="AE37" s="96"/>
      <c r="AF37" s="96"/>
      <c r="AG37" s="96"/>
      <c r="AH37" s="96"/>
      <c r="AI37" s="96"/>
      <c r="AJ37" s="96"/>
      <c r="AK37" s="96"/>
      <c r="AL37" s="96"/>
      <c r="AM37" s="96"/>
      <c r="AN37" s="96"/>
      <c r="AO37" s="96"/>
      <c r="AP37" s="96"/>
    </row>
    <row r="38" spans="1:42" hidden="1" outlineLevel="1">
      <c r="A38" s="72" t="s">
        <v>314</v>
      </c>
      <c r="B38" s="1919"/>
      <c r="C38" s="76"/>
      <c r="D38" s="76">
        <f t="shared" ref="D38:AB38" si="23">D26-C26</f>
        <v>-1487000</v>
      </c>
      <c r="E38" s="76">
        <f t="shared" si="23"/>
        <v>-5072000</v>
      </c>
      <c r="F38" s="76">
        <f t="shared" si="23"/>
        <v>937000</v>
      </c>
      <c r="G38" s="76">
        <f t="shared" si="23"/>
        <v>-8415000</v>
      </c>
      <c r="H38" s="76">
        <f t="shared" si="23"/>
        <v>-2668000</v>
      </c>
      <c r="I38" s="76">
        <f t="shared" si="23"/>
        <v>-7305000</v>
      </c>
      <c r="J38" s="76">
        <f t="shared" si="23"/>
        <v>-5666000</v>
      </c>
      <c r="K38" s="76">
        <f t="shared" si="23"/>
        <v>-4250000</v>
      </c>
      <c r="L38" s="76">
        <f t="shared" si="23"/>
        <v>-2483000</v>
      </c>
      <c r="M38" s="76">
        <f t="shared" si="23"/>
        <v>-3778000</v>
      </c>
      <c r="N38" s="76">
        <f t="shared" si="23"/>
        <v>-3951000</v>
      </c>
      <c r="O38" s="76">
        <f t="shared" si="23"/>
        <v>-6071000</v>
      </c>
      <c r="P38" s="76">
        <f t="shared" si="23"/>
        <v>-2572000</v>
      </c>
      <c r="Q38" s="76">
        <f t="shared" si="23"/>
        <v>-587000</v>
      </c>
      <c r="R38" s="76">
        <f t="shared" si="23"/>
        <v>1173000</v>
      </c>
      <c r="S38" s="76">
        <f t="shared" si="23"/>
        <v>-8340000</v>
      </c>
      <c r="T38" s="76">
        <f t="shared" si="23"/>
        <v>2864000</v>
      </c>
      <c r="U38" s="76">
        <f t="shared" si="23"/>
        <v>-6457000</v>
      </c>
      <c r="V38" s="76">
        <f t="shared" si="23"/>
        <v>-653000</v>
      </c>
      <c r="W38" s="76">
        <f t="shared" si="23"/>
        <v>-1490000</v>
      </c>
      <c r="X38" s="76">
        <f t="shared" si="23"/>
        <v>-324000</v>
      </c>
      <c r="Y38" s="76">
        <f t="shared" si="23"/>
        <v>-287000</v>
      </c>
      <c r="Z38" s="76">
        <f t="shared" si="23"/>
        <v>-13464000</v>
      </c>
      <c r="AA38" s="76">
        <f t="shared" si="23"/>
        <v>-1477000</v>
      </c>
      <c r="AB38" s="76">
        <f t="shared" si="23"/>
        <v>1853000</v>
      </c>
      <c r="AC38" s="73">
        <f t="shared" si="15"/>
        <v>-2777500</v>
      </c>
      <c r="AD38" s="73">
        <f t="shared" si="16"/>
        <v>-1566777.7777777778</v>
      </c>
      <c r="AE38" s="96"/>
      <c r="AF38" s="96"/>
      <c r="AG38" s="96"/>
      <c r="AH38" s="96"/>
      <c r="AI38" s="96"/>
      <c r="AJ38" s="96"/>
      <c r="AK38" s="96"/>
      <c r="AL38" s="96"/>
      <c r="AM38" s="96"/>
      <c r="AN38" s="96"/>
      <c r="AO38" s="96"/>
      <c r="AP38" s="96"/>
    </row>
    <row r="39" spans="1:42" s="61" customFormat="1" collapsed="1">
      <c r="A39" s="74" t="s">
        <v>203</v>
      </c>
      <c r="B39" s="74"/>
      <c r="C39" s="75"/>
      <c r="D39" s="75">
        <f t="shared" ref="D39:AD39" si="24">SUM(D31:D38)</f>
        <v>-9652000</v>
      </c>
      <c r="E39" s="75">
        <f t="shared" si="24"/>
        <v>-36208000</v>
      </c>
      <c r="F39" s="75">
        <f t="shared" si="24"/>
        <v>-17318000</v>
      </c>
      <c r="G39" s="75">
        <f t="shared" si="24"/>
        <v>-37804000</v>
      </c>
      <c r="H39" s="75">
        <f t="shared" si="24"/>
        <v>-29832000</v>
      </c>
      <c r="I39" s="75">
        <f t="shared" si="24"/>
        <v>-42907000</v>
      </c>
      <c r="J39" s="75">
        <f t="shared" si="24"/>
        <v>-31934000</v>
      </c>
      <c r="K39" s="75">
        <f t="shared" si="24"/>
        <v>-12316000</v>
      </c>
      <c r="L39" s="75">
        <f t="shared" si="24"/>
        <v>-46186000</v>
      </c>
      <c r="M39" s="75">
        <f t="shared" si="24"/>
        <v>-18633000</v>
      </c>
      <c r="N39" s="75">
        <f t="shared" si="24"/>
        <v>-19118000</v>
      </c>
      <c r="O39" s="75">
        <f t="shared" si="24"/>
        <v>-42377000</v>
      </c>
      <c r="P39" s="75">
        <f t="shared" si="24"/>
        <v>-10425000</v>
      </c>
      <c r="Q39" s="75">
        <f t="shared" si="24"/>
        <v>-13138000</v>
      </c>
      <c r="R39" s="75">
        <f t="shared" si="24"/>
        <v>-10351000</v>
      </c>
      <c r="S39" s="75">
        <f t="shared" si="24"/>
        <v>-19105000</v>
      </c>
      <c r="T39" s="75">
        <f t="shared" si="24"/>
        <v>-10101000</v>
      </c>
      <c r="U39" s="75">
        <f t="shared" si="24"/>
        <v>-12257000</v>
      </c>
      <c r="V39" s="75">
        <f t="shared" si="24"/>
        <v>-3470000</v>
      </c>
      <c r="W39" s="75">
        <f t="shared" si="24"/>
        <v>-2581000</v>
      </c>
      <c r="X39" s="75">
        <f t="shared" si="24"/>
        <v>-3213000</v>
      </c>
      <c r="Y39" s="75">
        <f t="shared" si="24"/>
        <v>-2967000</v>
      </c>
      <c r="Z39" s="75">
        <f t="shared" si="24"/>
        <v>-84241000</v>
      </c>
      <c r="AA39" s="75">
        <f t="shared" si="24"/>
        <v>-3166000</v>
      </c>
      <c r="AB39" s="75">
        <f t="shared" si="24"/>
        <v>16915000</v>
      </c>
      <c r="AC39" s="75">
        <f t="shared" si="24"/>
        <v>-12418600</v>
      </c>
      <c r="AD39" s="75">
        <f t="shared" si="24"/>
        <v>-8575888.8888888899</v>
      </c>
      <c r="AE39" s="97"/>
      <c r="AF39" s="97"/>
      <c r="AG39" s="97"/>
      <c r="AH39" s="97"/>
      <c r="AI39" s="97"/>
      <c r="AJ39" s="97"/>
      <c r="AK39" s="97"/>
      <c r="AL39" s="97"/>
      <c r="AM39" s="97"/>
      <c r="AN39" s="97"/>
      <c r="AO39" s="97"/>
      <c r="AP39" s="97"/>
    </row>
    <row r="41" spans="1:42">
      <c r="A41" s="71">
        <v>4</v>
      </c>
      <c r="B41" s="71" t="s">
        <v>494</v>
      </c>
      <c r="C41" s="1910" t="s">
        <v>320</v>
      </c>
      <c r="D41" s="1910"/>
      <c r="E41" s="1910"/>
      <c r="F41" s="1910"/>
      <c r="G41" s="1910"/>
      <c r="H41" s="1910"/>
      <c r="I41" s="1910"/>
      <c r="J41" s="1910"/>
      <c r="K41" s="1910"/>
      <c r="L41" s="1910"/>
      <c r="M41" s="1910"/>
      <c r="N41" s="1910"/>
      <c r="O41" s="1910"/>
      <c r="P41" s="1910"/>
      <c r="Q41" s="1910"/>
      <c r="R41" s="1910"/>
      <c r="S41" s="1910"/>
      <c r="T41" s="1910"/>
      <c r="U41" s="1910"/>
      <c r="V41" s="1910"/>
      <c r="W41" s="1910"/>
      <c r="X41" s="1910"/>
      <c r="Y41" s="1910"/>
      <c r="Z41" s="1910"/>
      <c r="AA41" s="1910"/>
      <c r="AB41" s="1910"/>
      <c r="AC41" s="86"/>
      <c r="AD41" s="86"/>
      <c r="AE41" s="96"/>
      <c r="AF41" s="96"/>
      <c r="AG41" s="96"/>
      <c r="AH41" s="96"/>
      <c r="AI41" s="96"/>
      <c r="AJ41" s="96"/>
      <c r="AK41" s="96"/>
      <c r="AL41" s="96"/>
      <c r="AM41" s="96"/>
      <c r="AN41" s="96"/>
      <c r="AO41" s="96"/>
      <c r="AP41" s="96"/>
    </row>
    <row r="42" spans="1:42">
      <c r="A42" s="71"/>
      <c r="B42" s="71"/>
      <c r="C42" s="72" t="s">
        <v>284</v>
      </c>
      <c r="D42" s="72" t="s">
        <v>285</v>
      </c>
      <c r="E42" s="72" t="s">
        <v>286</v>
      </c>
      <c r="F42" s="72" t="s">
        <v>287</v>
      </c>
      <c r="G42" s="72" t="s">
        <v>288</v>
      </c>
      <c r="H42" s="72" t="s">
        <v>289</v>
      </c>
      <c r="I42" s="72" t="s">
        <v>290</v>
      </c>
      <c r="J42" s="72" t="s">
        <v>291</v>
      </c>
      <c r="K42" s="72" t="s">
        <v>292</v>
      </c>
      <c r="L42" s="72" t="s">
        <v>293</v>
      </c>
      <c r="M42" s="72" t="s">
        <v>294</v>
      </c>
      <c r="N42" s="72" t="s">
        <v>295</v>
      </c>
      <c r="O42" s="72" t="s">
        <v>296</v>
      </c>
      <c r="P42" s="72" t="s">
        <v>297</v>
      </c>
      <c r="Q42" s="72" t="s">
        <v>298</v>
      </c>
      <c r="R42" s="72" t="s">
        <v>299</v>
      </c>
      <c r="S42" s="72" t="s">
        <v>300</v>
      </c>
      <c r="T42" s="72" t="s">
        <v>301</v>
      </c>
      <c r="U42" s="72" t="s">
        <v>302</v>
      </c>
      <c r="V42" s="72" t="s">
        <v>303</v>
      </c>
      <c r="W42" s="72" t="s">
        <v>304</v>
      </c>
      <c r="X42" s="72" t="s">
        <v>305</v>
      </c>
      <c r="Y42" s="72" t="s">
        <v>306</v>
      </c>
      <c r="Z42" s="72" t="s">
        <v>307</v>
      </c>
      <c r="AA42" s="72" t="s">
        <v>308</v>
      </c>
      <c r="AB42" s="72" t="s">
        <v>309</v>
      </c>
      <c r="AC42" s="72" t="s">
        <v>351</v>
      </c>
      <c r="AD42" s="72" t="s">
        <v>352</v>
      </c>
      <c r="AE42" s="72" t="s">
        <v>340</v>
      </c>
      <c r="AF42" s="72" t="s">
        <v>341</v>
      </c>
      <c r="AG42" s="72" t="s">
        <v>342</v>
      </c>
      <c r="AH42" s="72" t="s">
        <v>343</v>
      </c>
      <c r="AI42" s="72" t="s">
        <v>344</v>
      </c>
      <c r="AJ42" s="72" t="s">
        <v>345</v>
      </c>
      <c r="AK42" s="72" t="s">
        <v>346</v>
      </c>
      <c r="AL42" s="72" t="s">
        <v>347</v>
      </c>
      <c r="AM42" s="72" t="s">
        <v>348</v>
      </c>
      <c r="AN42" s="72" t="s">
        <v>349</v>
      </c>
      <c r="AO42" s="72" t="s">
        <v>350</v>
      </c>
      <c r="AP42" s="72" t="s">
        <v>353</v>
      </c>
    </row>
    <row r="43" spans="1:42" hidden="1" outlineLevel="1">
      <c r="A43" s="72" t="s">
        <v>315</v>
      </c>
      <c r="B43" s="1917" t="s">
        <v>339</v>
      </c>
      <c r="C43" s="76"/>
      <c r="D43" s="77">
        <f t="shared" ref="D43:AB43" si="25">D31/C19</f>
        <v>-7.1240387354030196E-2</v>
      </c>
      <c r="E43" s="77">
        <f t="shared" si="25"/>
        <v>-8.0407865986890023E-2</v>
      </c>
      <c r="F43" s="77">
        <f t="shared" si="25"/>
        <v>-4.9930385920448198E-2</v>
      </c>
      <c r="G43" s="77">
        <f t="shared" si="25"/>
        <v>-8.7023289282016178E-2</v>
      </c>
      <c r="H43" s="77">
        <f t="shared" si="25"/>
        <v>-5.2940667621418476E-2</v>
      </c>
      <c r="I43" s="77">
        <f t="shared" si="25"/>
        <v>-2.7990622431063705E-2</v>
      </c>
      <c r="J43" s="77">
        <f t="shared" si="25"/>
        <v>-8.2370138345079613E-2</v>
      </c>
      <c r="K43" s="77">
        <f t="shared" si="25"/>
        <v>-8.9741255717634208E-2</v>
      </c>
      <c r="L43" s="77">
        <f t="shared" si="25"/>
        <v>-0.2021900273753422</v>
      </c>
      <c r="M43" s="77">
        <f t="shared" si="25"/>
        <v>-6.7952494359488594E-2</v>
      </c>
      <c r="N43" s="77">
        <f t="shared" si="25"/>
        <v>-9.6525291240102881E-2</v>
      </c>
      <c r="O43" s="77">
        <f t="shared" si="25"/>
        <v>-0.14373430086519676</v>
      </c>
      <c r="P43" s="77">
        <f t="shared" si="25"/>
        <v>-2.1729682746631899E-2</v>
      </c>
      <c r="Q43" s="77">
        <f t="shared" si="25"/>
        <v>-5.1710350955131053E-2</v>
      </c>
      <c r="R43" s="77">
        <f t="shared" si="25"/>
        <v>-3.1036259720790781E-2</v>
      </c>
      <c r="S43" s="77">
        <f t="shared" si="25"/>
        <v>-3.0193149128532406E-2</v>
      </c>
      <c r="T43" s="77">
        <f t="shared" si="25"/>
        <v>-4.8481978164414977E-2</v>
      </c>
      <c r="U43" s="77">
        <f t="shared" si="25"/>
        <v>-3.2614675294056011E-2</v>
      </c>
      <c r="V43" s="77">
        <f t="shared" si="25"/>
        <v>-4.0457105719237434E-2</v>
      </c>
      <c r="W43" s="77">
        <f t="shared" si="25"/>
        <v>-1.6453124118078682E-2</v>
      </c>
      <c r="X43" s="77">
        <f t="shared" si="25"/>
        <v>-1.0186221342285732E-2</v>
      </c>
      <c r="Y43" s="77">
        <f t="shared" si="25"/>
        <v>-1.6958487940630797E-2</v>
      </c>
      <c r="Z43" s="77">
        <f t="shared" si="25"/>
        <v>-0.35714075078882956</v>
      </c>
      <c r="AA43" s="77">
        <f t="shared" si="25"/>
        <v>-1.2155963302752294E-2</v>
      </c>
      <c r="AB43" s="77">
        <f t="shared" si="25"/>
        <v>0.27485488739261665</v>
      </c>
      <c r="AC43" s="98">
        <f t="shared" ref="AC43:AC51" si="26">AVERAGE(S43:AB43)</f>
        <v>-2.8978656840620121E-2</v>
      </c>
      <c r="AD43" s="98">
        <f t="shared" ref="AD43:AD51" si="27">AVERAGE(Q43:Y43)</f>
        <v>-3.0899039153684211E-2</v>
      </c>
      <c r="AE43" s="96"/>
      <c r="AF43" s="96"/>
      <c r="AG43" s="96"/>
      <c r="AH43" s="96"/>
      <c r="AI43" s="96"/>
      <c r="AJ43" s="96"/>
      <c r="AK43" s="96"/>
      <c r="AL43" s="96"/>
      <c r="AM43" s="96"/>
      <c r="AN43" s="96"/>
      <c r="AO43" s="96"/>
      <c r="AP43" s="96"/>
    </row>
    <row r="44" spans="1:42" hidden="1" outlineLevel="1">
      <c r="A44" s="72" t="s">
        <v>310</v>
      </c>
      <c r="B44" s="1918"/>
      <c r="C44" s="76"/>
      <c r="D44" s="77">
        <f t="shared" ref="D44:AB44" si="28">D32/C20</f>
        <v>-8.5655093584797823E-2</v>
      </c>
      <c r="E44" s="77">
        <f t="shared" si="28"/>
        <v>-5.4418313930775841E-2</v>
      </c>
      <c r="F44" s="77">
        <f t="shared" si="28"/>
        <v>-4.6973765750877916E-2</v>
      </c>
      <c r="G44" s="77">
        <f t="shared" si="28"/>
        <v>-1.4088780995318189E-2</v>
      </c>
      <c r="H44" s="77">
        <f t="shared" si="28"/>
        <v>-8.5300971727564519E-3</v>
      </c>
      <c r="I44" s="77">
        <f t="shared" si="28"/>
        <v>-0.10328617677058849</v>
      </c>
      <c r="J44" s="77">
        <f t="shared" si="28"/>
        <v>-5.964391691394659E-2</v>
      </c>
      <c r="K44" s="77">
        <f t="shared" si="28"/>
        <v>-4.1285368675712635E-2</v>
      </c>
      <c r="L44" s="77">
        <f t="shared" si="28"/>
        <v>-3.132371495967963E-2</v>
      </c>
      <c r="M44" s="77">
        <f t="shared" si="28"/>
        <v>-3.1940197077811754E-2</v>
      </c>
      <c r="N44" s="77">
        <f t="shared" si="28"/>
        <v>-9.3600093600093599E-3</v>
      </c>
      <c r="O44" s="77">
        <f t="shared" si="28"/>
        <v>-7.1571985354907289E-2</v>
      </c>
      <c r="P44" s="77">
        <f t="shared" si="28"/>
        <v>1.6537336216766315E-3</v>
      </c>
      <c r="Q44" s="77">
        <f t="shared" si="28"/>
        <v>-1.1684023368046735E-2</v>
      </c>
      <c r="R44" s="77">
        <f t="shared" si="28"/>
        <v>-6.5600102801336421E-2</v>
      </c>
      <c r="S44" s="77">
        <f t="shared" si="28"/>
        <v>-3.7887643539847346E-2</v>
      </c>
      <c r="T44" s="166">
        <f t="shared" si="28"/>
        <v>-7.7901658090337332E-3</v>
      </c>
      <c r="U44" s="166">
        <f t="shared" si="28"/>
        <v>2.0744795793416409E-2</v>
      </c>
      <c r="V44" s="166">
        <f t="shared" si="28"/>
        <v>8.63735798461647E-2</v>
      </c>
      <c r="W44" s="166">
        <f t="shared" si="28"/>
        <v>4.2611237414745047E-2</v>
      </c>
      <c r="X44" s="166">
        <f t="shared" si="28"/>
        <v>0.11251635412123855</v>
      </c>
      <c r="Y44" s="166">
        <f t="shared" si="28"/>
        <v>9.4080752646021164E-3</v>
      </c>
      <c r="Z44" s="77">
        <f t="shared" si="28"/>
        <v>-0.36726768377253816</v>
      </c>
      <c r="AA44" s="77">
        <f t="shared" si="28"/>
        <v>0.12590968873301184</v>
      </c>
      <c r="AB44" s="77">
        <f t="shared" si="28"/>
        <v>0.10170547465150689</v>
      </c>
      <c r="AC44" s="98">
        <f t="shared" si="26"/>
        <v>8.6323712703266324E-3</v>
      </c>
      <c r="AD44" s="98">
        <f t="shared" si="27"/>
        <v>1.652134521354473E-2</v>
      </c>
      <c r="AE44" s="96"/>
      <c r="AF44" s="96"/>
      <c r="AG44" s="96"/>
      <c r="AH44" s="96"/>
      <c r="AI44" s="96"/>
      <c r="AJ44" s="96"/>
      <c r="AK44" s="96"/>
      <c r="AL44" s="96"/>
      <c r="AM44" s="96"/>
      <c r="AN44" s="96"/>
      <c r="AO44" s="96"/>
      <c r="AP44" s="96"/>
    </row>
    <row r="45" spans="1:42" hidden="1" outlineLevel="1">
      <c r="A45" s="72" t="s">
        <v>317</v>
      </c>
      <c r="B45" s="1918"/>
      <c r="C45" s="76"/>
      <c r="D45" s="77">
        <f t="shared" ref="D45:AB45" si="29">D33/C21</f>
        <v>-2.5925982542764112E-2</v>
      </c>
      <c r="E45" s="77">
        <f t="shared" si="29"/>
        <v>-0.11653928846063308</v>
      </c>
      <c r="F45" s="77">
        <f t="shared" si="29"/>
        <v>-3.3626432187583266E-2</v>
      </c>
      <c r="G45" s="77">
        <f t="shared" si="29"/>
        <v>-2.7701187456343517E-2</v>
      </c>
      <c r="H45" s="77">
        <f t="shared" si="29"/>
        <v>-5.741563474808583E-2</v>
      </c>
      <c r="I45" s="77">
        <f t="shared" si="29"/>
        <v>-8.7388182438124268E-2</v>
      </c>
      <c r="J45" s="77">
        <f t="shared" si="29"/>
        <v>-6.3295312190940853E-2</v>
      </c>
      <c r="K45" s="77">
        <f t="shared" si="29"/>
        <v>-3.2894582482813635E-2</v>
      </c>
      <c r="L45" s="77">
        <f t="shared" si="29"/>
        <v>1.0626167544093743E-2</v>
      </c>
      <c r="M45" s="77">
        <f t="shared" si="29"/>
        <v>-2.8062510502436567E-2</v>
      </c>
      <c r="N45" s="77">
        <f t="shared" si="29"/>
        <v>-6.9674965421853391E-2</v>
      </c>
      <c r="O45" s="77">
        <f t="shared" si="29"/>
        <v>-0.14946770382562985</v>
      </c>
      <c r="P45" s="77">
        <f t="shared" si="29"/>
        <v>-8.4308767987015018E-2</v>
      </c>
      <c r="Q45" s="77">
        <f t="shared" si="29"/>
        <v>1.7043905099536406E-4</v>
      </c>
      <c r="R45" s="77">
        <f t="shared" si="29"/>
        <v>-4.4136191677175286E-2</v>
      </c>
      <c r="S45" s="77">
        <f t="shared" si="29"/>
        <v>-2.2997931968908224E-2</v>
      </c>
      <c r="T45" s="77">
        <f t="shared" si="29"/>
        <v>-4.2553191489361701E-2</v>
      </c>
      <c r="U45" s="77">
        <f t="shared" si="29"/>
        <v>-7.4290070516485604E-2</v>
      </c>
      <c r="V45" s="77">
        <f t="shared" si="29"/>
        <v>6.6293337725438521E-3</v>
      </c>
      <c r="W45" s="77">
        <f t="shared" si="29"/>
        <v>-2.8674274962163047E-2</v>
      </c>
      <c r="X45" s="77">
        <f t="shared" si="29"/>
        <v>1.8487324180914682E-2</v>
      </c>
      <c r="Y45" s="77">
        <f t="shared" si="29"/>
        <v>1.1949555509613397E-2</v>
      </c>
      <c r="Z45" s="77">
        <f t="shared" si="29"/>
        <v>-0.38424450437198659</v>
      </c>
      <c r="AA45" s="77">
        <f t="shared" si="29"/>
        <v>-8.1619110816191109E-2</v>
      </c>
      <c r="AB45" s="77">
        <f t="shared" si="29"/>
        <v>0.40563583815028903</v>
      </c>
      <c r="AC45" s="98">
        <f t="shared" si="26"/>
        <v>-1.9167703251173528E-2</v>
      </c>
      <c r="AD45" s="98">
        <f t="shared" si="27"/>
        <v>-1.9490556455558507E-2</v>
      </c>
      <c r="AE45" s="96"/>
      <c r="AF45" s="96"/>
      <c r="AG45" s="96"/>
      <c r="AH45" s="96"/>
      <c r="AI45" s="96"/>
      <c r="AJ45" s="96"/>
      <c r="AK45" s="96"/>
      <c r="AL45" s="96"/>
      <c r="AM45" s="96"/>
      <c r="AN45" s="96"/>
      <c r="AO45" s="96"/>
      <c r="AP45" s="96"/>
    </row>
    <row r="46" spans="1:42" hidden="1" outlineLevel="1">
      <c r="A46" s="72" t="s">
        <v>313</v>
      </c>
      <c r="B46" s="1918"/>
      <c r="C46" s="76"/>
      <c r="D46" s="77">
        <f t="shared" ref="D46:AB46" si="30">D34/C22</f>
        <v>-5.8489281031135328E-2</v>
      </c>
      <c r="E46" s="77">
        <f t="shared" si="30"/>
        <v>-6.5340142297269574E-2</v>
      </c>
      <c r="F46" s="77">
        <f t="shared" si="30"/>
        <v>3.0472098046689999E-2</v>
      </c>
      <c r="G46" s="77">
        <f t="shared" si="30"/>
        <v>-4.2708695311011222E-2</v>
      </c>
      <c r="H46" s="77">
        <f t="shared" si="30"/>
        <v>-0.11587957704422769</v>
      </c>
      <c r="I46" s="77">
        <f t="shared" si="30"/>
        <v>-0.13522641484444325</v>
      </c>
      <c r="J46" s="77">
        <f t="shared" si="30"/>
        <v>-3.7952000980196958E-2</v>
      </c>
      <c r="K46" s="77">
        <f t="shared" si="30"/>
        <v>-2.1953355090344663E-2</v>
      </c>
      <c r="L46" s="77">
        <f t="shared" si="30"/>
        <v>-5.485383162966339E-2</v>
      </c>
      <c r="M46" s="77">
        <f t="shared" si="30"/>
        <v>6.02762373850446E-4</v>
      </c>
      <c r="N46" s="77">
        <f t="shared" si="30"/>
        <v>3.4508872480680193E-2</v>
      </c>
      <c r="O46" s="77">
        <f t="shared" si="30"/>
        <v>-9.0756330482813702E-2</v>
      </c>
      <c r="P46" s="77">
        <f t="shared" si="30"/>
        <v>-1.4363872573237452E-2</v>
      </c>
      <c r="Q46" s="77">
        <f t="shared" si="30"/>
        <v>-6.8521887647124344E-2</v>
      </c>
      <c r="R46" s="77">
        <f t="shared" si="30"/>
        <v>-4.0597907324364725E-2</v>
      </c>
      <c r="S46" s="77">
        <f t="shared" si="30"/>
        <v>-7.9064356641322858E-2</v>
      </c>
      <c r="T46" s="77">
        <f t="shared" si="30"/>
        <v>-6.3362807903997106E-2</v>
      </c>
      <c r="U46" s="77">
        <f t="shared" si="30"/>
        <v>-2.1674734484502566E-3</v>
      </c>
      <c r="V46" s="77">
        <f t="shared" si="30"/>
        <v>7.7233123355779205E-4</v>
      </c>
      <c r="W46" s="77">
        <f t="shared" si="30"/>
        <v>2.1463885204389245E-3</v>
      </c>
      <c r="X46" s="77">
        <f t="shared" si="30"/>
        <v>-1.2971073783510612E-2</v>
      </c>
      <c r="Y46" s="77">
        <f t="shared" si="30"/>
        <v>-3.1281238571254422E-2</v>
      </c>
      <c r="Z46" s="77">
        <f t="shared" si="30"/>
        <v>-0.30846672707137823</v>
      </c>
      <c r="AA46" s="77">
        <f t="shared" si="30"/>
        <v>-2.209200757024312E-2</v>
      </c>
      <c r="AB46" s="77">
        <f t="shared" si="30"/>
        <v>-0.38311809148088877</v>
      </c>
      <c r="AC46" s="98">
        <f t="shared" si="26"/>
        <v>-8.9960505671704855E-2</v>
      </c>
      <c r="AD46" s="98">
        <f t="shared" si="27"/>
        <v>-3.2783113951780844E-2</v>
      </c>
      <c r="AE46" s="96"/>
      <c r="AF46" s="96"/>
      <c r="AG46" s="96"/>
      <c r="AH46" s="96"/>
      <c r="AI46" s="96"/>
      <c r="AJ46" s="96"/>
      <c r="AK46" s="96"/>
      <c r="AL46" s="96"/>
      <c r="AM46" s="96"/>
      <c r="AN46" s="96"/>
      <c r="AO46" s="96"/>
      <c r="AP46" s="96"/>
    </row>
    <row r="47" spans="1:42" hidden="1" outlineLevel="1">
      <c r="A47" s="72" t="s">
        <v>316</v>
      </c>
      <c r="B47" s="1918"/>
      <c r="C47" s="76"/>
      <c r="D47" s="77">
        <f t="shared" ref="D47:AB47" si="31">D35/C23</f>
        <v>-3.9688575516570207E-2</v>
      </c>
      <c r="E47" s="77">
        <f t="shared" si="31"/>
        <v>5.1973154362416105E-2</v>
      </c>
      <c r="F47" s="77">
        <f t="shared" si="31"/>
        <v>-4.7963558413719187E-2</v>
      </c>
      <c r="G47" s="77">
        <f t="shared" si="31"/>
        <v>-7.5710667041936394E-2</v>
      </c>
      <c r="H47" s="77">
        <f t="shared" si="31"/>
        <v>-3.9585870889159557E-3</v>
      </c>
      <c r="I47" s="77">
        <f t="shared" si="31"/>
        <v>-4.1956005881410956E-2</v>
      </c>
      <c r="J47" s="77">
        <f t="shared" si="31"/>
        <v>-7.5658344603321728E-2</v>
      </c>
      <c r="K47" s="77">
        <f t="shared" si="31"/>
        <v>-6.5954298865691277E-2</v>
      </c>
      <c r="L47" s="77">
        <f t="shared" si="31"/>
        <v>-6.0702594248301593E-2</v>
      </c>
      <c r="M47" s="77">
        <f t="shared" si="31"/>
        <v>-8.0083943862541931E-2</v>
      </c>
      <c r="N47" s="77">
        <f t="shared" si="31"/>
        <v>-6.5688970363580818E-2</v>
      </c>
      <c r="O47" s="77">
        <f t="shared" si="31"/>
        <v>-0.13660344451711359</v>
      </c>
      <c r="P47" s="77">
        <f t="shared" si="31"/>
        <v>-2.8582971417028584E-2</v>
      </c>
      <c r="Q47" s="77">
        <f t="shared" si="31"/>
        <v>-5.4637138698274072E-2</v>
      </c>
      <c r="R47" s="77">
        <f t="shared" si="31"/>
        <v>-3.6898542755017874E-2</v>
      </c>
      <c r="S47" s="77">
        <f t="shared" si="31"/>
        <v>-5.4156674660271784E-2</v>
      </c>
      <c r="T47" s="77">
        <f t="shared" si="31"/>
        <v>-9.7008843681144541E-2</v>
      </c>
      <c r="U47" s="77">
        <f t="shared" si="31"/>
        <v>-3.0718320687234683E-2</v>
      </c>
      <c r="V47" s="77">
        <f t="shared" si="31"/>
        <v>-5.2693289192358092E-2</v>
      </c>
      <c r="W47" s="77">
        <f t="shared" si="31"/>
        <v>-3.5748088824171825E-2</v>
      </c>
      <c r="X47" s="77">
        <f t="shared" si="31"/>
        <v>-2.6238296587133798E-2</v>
      </c>
      <c r="Y47" s="77">
        <f t="shared" si="31"/>
        <v>-1.3336951886170666E-2</v>
      </c>
      <c r="Z47" s="77">
        <f t="shared" si="31"/>
        <v>-0.37592832724272074</v>
      </c>
      <c r="AA47" s="77">
        <f t="shared" si="31"/>
        <v>5.9375393527263572E-2</v>
      </c>
      <c r="AB47" s="77">
        <f t="shared" si="31"/>
        <v>0.28172362555720654</v>
      </c>
      <c r="AC47" s="98">
        <f t="shared" si="26"/>
        <v>-3.4472977367673595E-2</v>
      </c>
      <c r="AD47" s="98">
        <f t="shared" si="27"/>
        <v>-4.4604016330197484E-2</v>
      </c>
      <c r="AE47" s="96"/>
      <c r="AF47" s="96"/>
      <c r="AG47" s="96"/>
      <c r="AH47" s="96"/>
      <c r="AI47" s="96"/>
      <c r="AJ47" s="96"/>
      <c r="AK47" s="96"/>
      <c r="AL47" s="96"/>
      <c r="AM47" s="96"/>
      <c r="AN47" s="96"/>
      <c r="AO47" s="96"/>
      <c r="AP47" s="96"/>
    </row>
    <row r="48" spans="1:42" hidden="1" outlineLevel="1">
      <c r="A48" s="72" t="s">
        <v>312</v>
      </c>
      <c r="B48" s="1918"/>
      <c r="C48" s="76"/>
      <c r="D48" s="77">
        <f t="shared" ref="D48:AB48" si="32">D36/C24</f>
        <v>0.17434089183031354</v>
      </c>
      <c r="E48" s="77">
        <f t="shared" si="32"/>
        <v>-6.4043459381553786E-2</v>
      </c>
      <c r="F48" s="77">
        <f t="shared" si="32"/>
        <v>-6.9985292230546753E-3</v>
      </c>
      <c r="G48" s="77">
        <f t="shared" si="32"/>
        <v>-5.0726654605459352E-2</v>
      </c>
      <c r="H48" s="77">
        <f t="shared" si="32"/>
        <v>-5.7290957641761349E-2</v>
      </c>
      <c r="I48" s="77">
        <f t="shared" si="32"/>
        <v>-9.3008531058384428E-2</v>
      </c>
      <c r="J48" s="77">
        <f t="shared" si="32"/>
        <v>-5.2099790572068927E-2</v>
      </c>
      <c r="K48" s="77">
        <f t="shared" si="32"/>
        <v>9.8479269222321281E-2</v>
      </c>
      <c r="L48" s="77">
        <f t="shared" si="32"/>
        <v>-0.23300673966995614</v>
      </c>
      <c r="M48" s="77">
        <f t="shared" si="32"/>
        <v>-4.4595071232498583E-2</v>
      </c>
      <c r="N48" s="77">
        <f t="shared" si="32"/>
        <v>-5.056098617999711E-2</v>
      </c>
      <c r="O48" s="77">
        <f t="shared" si="32"/>
        <v>-0.10099575662288042</v>
      </c>
      <c r="P48" s="77">
        <f t="shared" si="32"/>
        <v>-3.1423359723188597E-2</v>
      </c>
      <c r="Q48" s="77">
        <f t="shared" si="32"/>
        <v>-6.3371257717547466E-2</v>
      </c>
      <c r="R48" s="77">
        <f t="shared" si="32"/>
        <v>-7.2447245139090413E-2</v>
      </c>
      <c r="S48" s="77">
        <f t="shared" si="32"/>
        <v>-4.8673654099716183E-2</v>
      </c>
      <c r="T48" s="77">
        <f t="shared" si="32"/>
        <v>-5.2996311870140242E-2</v>
      </c>
      <c r="U48" s="77">
        <f t="shared" si="32"/>
        <v>-2.9270954778855458E-2</v>
      </c>
      <c r="V48" s="77">
        <f t="shared" si="32"/>
        <v>-3.2121227608412337E-2</v>
      </c>
      <c r="W48" s="77">
        <f t="shared" si="32"/>
        <v>-3.3952898933361494E-2</v>
      </c>
      <c r="X48" s="77">
        <f t="shared" si="32"/>
        <v>-2.175457775348456E-2</v>
      </c>
      <c r="Y48" s="77">
        <f t="shared" si="32"/>
        <v>-2.4864502430574958E-2</v>
      </c>
      <c r="Z48" s="77">
        <f t="shared" si="32"/>
        <v>-0.35841164336465736</v>
      </c>
      <c r="AA48" s="77">
        <f t="shared" si="32"/>
        <v>-7.7922657854782529E-2</v>
      </c>
      <c r="AB48" s="77">
        <f t="shared" si="32"/>
        <v>0.18335028330669767</v>
      </c>
      <c r="AC48" s="98">
        <f t="shared" si="26"/>
        <v>-4.9661814538728741E-2</v>
      </c>
      <c r="AD48" s="98">
        <f t="shared" si="27"/>
        <v>-4.216140337013146E-2</v>
      </c>
      <c r="AE48" s="96"/>
      <c r="AF48" s="96"/>
      <c r="AG48" s="96"/>
      <c r="AH48" s="96"/>
      <c r="AI48" s="96"/>
      <c r="AJ48" s="96"/>
      <c r="AK48" s="96"/>
      <c r="AL48" s="96"/>
      <c r="AM48" s="96"/>
      <c r="AN48" s="96"/>
      <c r="AO48" s="96"/>
      <c r="AP48" s="96"/>
    </row>
    <row r="49" spans="1:42" hidden="1" outlineLevel="1">
      <c r="A49" s="72" t="s">
        <v>311</v>
      </c>
      <c r="B49" s="1918"/>
      <c r="C49" s="76"/>
      <c r="D49" s="77">
        <f t="shared" ref="D49:AB49" si="33">D37/C25</f>
        <v>-2.0887142055025266E-2</v>
      </c>
      <c r="E49" s="77">
        <f t="shared" si="33"/>
        <v>-4.4516900693067685E-2</v>
      </c>
      <c r="F49" s="77">
        <f t="shared" si="33"/>
        <v>-0.12699773647026544</v>
      </c>
      <c r="G49" s="77">
        <f t="shared" si="33"/>
        <v>-6.0459634649381262E-2</v>
      </c>
      <c r="H49" s="77">
        <f t="shared" si="33"/>
        <v>-5.8224619501588894E-2</v>
      </c>
      <c r="I49" s="77">
        <f t="shared" si="33"/>
        <v>-0.10418007858458943</v>
      </c>
      <c r="J49" s="77">
        <f t="shared" si="33"/>
        <v>-6.3983743866779005E-2</v>
      </c>
      <c r="K49" s="77">
        <f t="shared" si="33"/>
        <v>-5.9038441173355927E-3</v>
      </c>
      <c r="L49" s="77">
        <f t="shared" si="33"/>
        <v>-2.0400010652747078E-2</v>
      </c>
      <c r="M49" s="77">
        <f t="shared" si="33"/>
        <v>-4.4531441154881328E-2</v>
      </c>
      <c r="N49" s="77">
        <f t="shared" si="33"/>
        <v>-5.9012661829563239E-2</v>
      </c>
      <c r="O49" s="77">
        <f t="shared" si="33"/>
        <v>-0.12228236219043875</v>
      </c>
      <c r="P49" s="77">
        <f t="shared" si="33"/>
        <v>-2.0325903469183865E-2</v>
      </c>
      <c r="Q49" s="77">
        <f t="shared" si="33"/>
        <v>-3.4708302563561555E-2</v>
      </c>
      <c r="R49" s="77">
        <f t="shared" si="33"/>
        <v>-3.6757741347905284E-2</v>
      </c>
      <c r="S49" s="77">
        <f t="shared" si="33"/>
        <v>-1.6603002912144019E-2</v>
      </c>
      <c r="T49" s="77">
        <f t="shared" si="33"/>
        <v>-5.6380278440119988E-2</v>
      </c>
      <c r="U49" s="77">
        <f t="shared" si="33"/>
        <v>-2.873328985979785E-2</v>
      </c>
      <c r="V49" s="77">
        <f t="shared" si="33"/>
        <v>1.8882967563257941E-3</v>
      </c>
      <c r="W49" s="77">
        <f t="shared" si="33"/>
        <v>7.1871335232032166E-2</v>
      </c>
      <c r="X49" s="77">
        <f t="shared" si="33"/>
        <v>-0.10741638011878712</v>
      </c>
      <c r="Y49" s="77">
        <f t="shared" si="33"/>
        <v>-1.5321980475419166E-3</v>
      </c>
      <c r="Z49" s="77">
        <f t="shared" si="33"/>
        <v>-0.36430199929849177</v>
      </c>
      <c r="AA49" s="77">
        <f t="shared" si="33"/>
        <v>-1.5242430512449135E-2</v>
      </c>
      <c r="AB49" s="77">
        <f t="shared" si="33"/>
        <v>0.27952094130830646</v>
      </c>
      <c r="AC49" s="98">
        <f t="shared" si="26"/>
        <v>-2.3692900589266735E-2</v>
      </c>
      <c r="AD49" s="98">
        <f t="shared" si="27"/>
        <v>-2.3152395700166643E-2</v>
      </c>
      <c r="AE49" s="96"/>
      <c r="AF49" s="96"/>
      <c r="AG49" s="96"/>
      <c r="AH49" s="96"/>
      <c r="AI49" s="96"/>
      <c r="AJ49" s="96"/>
      <c r="AK49" s="96"/>
      <c r="AL49" s="96"/>
      <c r="AM49" s="96"/>
      <c r="AN49" s="96"/>
      <c r="AO49" s="96"/>
      <c r="AP49" s="96"/>
    </row>
    <row r="50" spans="1:42" hidden="1" outlineLevel="1">
      <c r="A50" s="72" t="s">
        <v>314</v>
      </c>
      <c r="B50" s="1919"/>
      <c r="C50" s="76"/>
      <c r="D50" s="77">
        <f t="shared" ref="D50:AB50" si="34">D38/C26</f>
        <v>-1.4421072027775353E-2</v>
      </c>
      <c r="E50" s="77">
        <f t="shared" si="34"/>
        <v>-4.9908487985358074E-2</v>
      </c>
      <c r="F50" s="77">
        <f t="shared" si="34"/>
        <v>9.70441411023883E-3</v>
      </c>
      <c r="G50" s="77">
        <f t="shared" si="34"/>
        <v>-8.631565990706834E-2</v>
      </c>
      <c r="H50" s="77">
        <f t="shared" si="34"/>
        <v>-2.9951951142844314E-2</v>
      </c>
      <c r="I50" s="77">
        <f t="shared" si="34"/>
        <v>-8.4540783260809188E-2</v>
      </c>
      <c r="J50" s="77">
        <f t="shared" si="34"/>
        <v>-7.1628130412247318E-2</v>
      </c>
      <c r="K50" s="77">
        <f t="shared" si="34"/>
        <v>-5.7872734452660106E-2</v>
      </c>
      <c r="L50" s="77">
        <f t="shared" si="34"/>
        <v>-3.5888244901498834E-2</v>
      </c>
      <c r="M50" s="77">
        <f t="shared" si="34"/>
        <v>-5.663828256176541E-2</v>
      </c>
      <c r="N50" s="77">
        <f t="shared" si="34"/>
        <v>-6.2788036741569464E-2</v>
      </c>
      <c r="O50" s="77">
        <f t="shared" si="34"/>
        <v>-0.10294192454429843</v>
      </c>
      <c r="P50" s="77">
        <f t="shared" si="34"/>
        <v>-4.8616361711779826E-2</v>
      </c>
      <c r="Q50" s="77">
        <f t="shared" si="34"/>
        <v>-1.1662560597631726E-2</v>
      </c>
      <c r="R50" s="77">
        <f t="shared" si="34"/>
        <v>2.358025932254498E-2</v>
      </c>
      <c r="S50" s="77">
        <f t="shared" si="34"/>
        <v>-0.16379276483758198</v>
      </c>
      <c r="T50" s="77">
        <f t="shared" si="34"/>
        <v>6.726478463056039E-2</v>
      </c>
      <c r="U50" s="77">
        <f t="shared" si="34"/>
        <v>-0.14209321772809294</v>
      </c>
      <c r="V50" s="77">
        <f t="shared" si="34"/>
        <v>-1.6750032063614209E-2</v>
      </c>
      <c r="W50" s="77">
        <f t="shared" si="34"/>
        <v>-3.8870917249295631E-2</v>
      </c>
      <c r="X50" s="77">
        <f t="shared" si="34"/>
        <v>-8.7943108408881174E-3</v>
      </c>
      <c r="Y50" s="77">
        <f t="shared" si="34"/>
        <v>-7.8591379593625065E-3</v>
      </c>
      <c r="Z50" s="77">
        <f t="shared" si="34"/>
        <v>-0.37161546741740498</v>
      </c>
      <c r="AA50" s="77">
        <f t="shared" si="34"/>
        <v>-6.4874599200597349E-2</v>
      </c>
      <c r="AB50" s="77">
        <f t="shared" si="34"/>
        <v>8.7036167214654764E-2</v>
      </c>
      <c r="AC50" s="98">
        <f t="shared" si="26"/>
        <v>-6.6034949545162244E-2</v>
      </c>
      <c r="AD50" s="98">
        <f t="shared" si="27"/>
        <v>-3.321976636926241E-2</v>
      </c>
      <c r="AE50" s="96"/>
      <c r="AF50" s="96"/>
      <c r="AG50" s="96"/>
      <c r="AH50" s="96"/>
      <c r="AI50" s="96"/>
      <c r="AJ50" s="96"/>
      <c r="AK50" s="96"/>
      <c r="AL50" s="96"/>
      <c r="AM50" s="96"/>
      <c r="AN50" s="96"/>
      <c r="AO50" s="96"/>
      <c r="AP50" s="96"/>
    </row>
    <row r="51" spans="1:42" s="61" customFormat="1" collapsed="1">
      <c r="A51" s="74" t="s">
        <v>203</v>
      </c>
      <c r="B51" s="74"/>
      <c r="C51" s="75"/>
      <c r="D51" s="78">
        <f t="shared" ref="D51:AB51" si="35">D39/C27</f>
        <v>-1.4461506651663777E-2</v>
      </c>
      <c r="E51" s="78">
        <f t="shared" si="35"/>
        <v>-5.5046178404469612E-2</v>
      </c>
      <c r="F51" s="78">
        <f t="shared" si="35"/>
        <v>-2.7861839512071909E-2</v>
      </c>
      <c r="G51" s="78">
        <f t="shared" si="35"/>
        <v>-6.2563612020872184E-2</v>
      </c>
      <c r="H51" s="78">
        <f t="shared" si="35"/>
        <v>-5.2665307311389457E-2</v>
      </c>
      <c r="I51" s="78">
        <f t="shared" si="35"/>
        <v>-7.9958927569775615E-2</v>
      </c>
      <c r="J51" s="78">
        <f t="shared" si="35"/>
        <v>-6.4682219782623673E-2</v>
      </c>
      <c r="K51" s="78">
        <f t="shared" si="35"/>
        <v>-2.6671171054113284E-2</v>
      </c>
      <c r="L51" s="78">
        <f t="shared" si="35"/>
        <v>-0.10275978071268378</v>
      </c>
      <c r="M51" s="78">
        <f t="shared" si="35"/>
        <v>-4.6204775956555165E-2</v>
      </c>
      <c r="N51" s="78">
        <f t="shared" si="35"/>
        <v>-4.9704006634827123E-2</v>
      </c>
      <c r="O51" s="78">
        <f t="shared" si="35"/>
        <v>-0.11593651766392445</v>
      </c>
      <c r="P51" s="78">
        <f t="shared" si="35"/>
        <v>-3.2261358783445049E-2</v>
      </c>
      <c r="Q51" s="78">
        <f t="shared" si="35"/>
        <v>-4.2012426570989102E-2</v>
      </c>
      <c r="R51" s="78">
        <f t="shared" si="35"/>
        <v>-3.4551821055547952E-2</v>
      </c>
      <c r="S51" s="78">
        <f t="shared" si="35"/>
        <v>-6.6055153719556892E-2</v>
      </c>
      <c r="T51" s="78">
        <f t="shared" si="35"/>
        <v>-3.7394076032029856E-2</v>
      </c>
      <c r="U51" s="78">
        <f t="shared" si="35"/>
        <v>-4.713831906530986E-2</v>
      </c>
      <c r="V51" s="78">
        <f t="shared" si="35"/>
        <v>-1.4005206546525942E-2</v>
      </c>
      <c r="W51" s="78">
        <f t="shared" si="35"/>
        <v>-1.0565095478826829E-2</v>
      </c>
      <c r="X51" s="78">
        <f t="shared" si="35"/>
        <v>-1.329256890374575E-2</v>
      </c>
      <c r="Y51" s="78">
        <f t="shared" si="35"/>
        <v>-1.2440199412161793E-2</v>
      </c>
      <c r="Z51" s="78">
        <f t="shared" si="35"/>
        <v>-0.35765961602146612</v>
      </c>
      <c r="AA51" s="78">
        <f t="shared" si="35"/>
        <v>-2.0926282114836773E-2</v>
      </c>
      <c r="AB51" s="78">
        <f t="shared" si="35"/>
        <v>0.11419255098665335</v>
      </c>
      <c r="AC51" s="100">
        <f t="shared" si="26"/>
        <v>-4.6528396630780643E-2</v>
      </c>
      <c r="AD51" s="100">
        <f t="shared" si="27"/>
        <v>-3.0828318531632662E-2</v>
      </c>
      <c r="AE51" s="97"/>
      <c r="AF51" s="97"/>
      <c r="AG51" s="97"/>
      <c r="AH51" s="97"/>
      <c r="AI51" s="97"/>
      <c r="AJ51" s="97"/>
      <c r="AK51" s="97"/>
      <c r="AL51" s="97"/>
      <c r="AM51" s="97"/>
      <c r="AN51" s="97"/>
      <c r="AO51" s="97"/>
      <c r="AP51" s="97"/>
    </row>
    <row r="53" spans="1:42">
      <c r="A53" s="339">
        <v>5</v>
      </c>
      <c r="B53" s="71" t="s">
        <v>265</v>
      </c>
      <c r="C53" s="1910" t="s">
        <v>318</v>
      </c>
      <c r="D53" s="1910"/>
      <c r="E53" s="1910"/>
      <c r="F53" s="1910"/>
      <c r="G53" s="1910"/>
      <c r="H53" s="1910"/>
      <c r="I53" s="1910"/>
      <c r="J53" s="1910"/>
      <c r="K53" s="1910"/>
      <c r="L53" s="1910"/>
      <c r="M53" s="1910"/>
      <c r="N53" s="1910"/>
      <c r="O53" s="1910"/>
      <c r="P53" s="1910"/>
      <c r="Q53" s="1910"/>
      <c r="R53" s="1910"/>
      <c r="S53" s="1910"/>
      <c r="T53" s="1910"/>
      <c r="U53" s="1910"/>
      <c r="V53" s="1910"/>
      <c r="W53" s="1910"/>
      <c r="X53" s="1910"/>
      <c r="Y53" s="1910"/>
      <c r="Z53" s="1910"/>
      <c r="AA53" s="1910"/>
      <c r="AB53" s="1910"/>
      <c r="AC53" s="96"/>
      <c r="AD53" s="86"/>
      <c r="AE53" s="96"/>
      <c r="AF53" s="96"/>
      <c r="AG53" s="96"/>
      <c r="AH53" s="96"/>
      <c r="AI53" s="96"/>
      <c r="AJ53" s="96"/>
      <c r="AK53" s="96"/>
      <c r="AL53" s="96"/>
      <c r="AM53" s="96"/>
      <c r="AN53" s="96"/>
      <c r="AO53" s="96"/>
      <c r="AP53" s="96"/>
    </row>
    <row r="54" spans="1:42">
      <c r="A54" s="339" t="s">
        <v>265</v>
      </c>
      <c r="B54" s="92" t="s">
        <v>357</v>
      </c>
      <c r="C54" s="72"/>
      <c r="D54" s="72"/>
      <c r="E54" s="72"/>
      <c r="F54" s="72"/>
      <c r="G54" s="72"/>
      <c r="H54" s="72"/>
      <c r="I54" s="72"/>
      <c r="J54" s="72"/>
      <c r="K54" s="72"/>
      <c r="L54" s="72"/>
      <c r="M54" s="72"/>
      <c r="N54" s="72"/>
      <c r="O54" s="72"/>
      <c r="P54" s="72"/>
      <c r="Q54" s="72"/>
      <c r="R54" s="72"/>
      <c r="S54" s="72"/>
      <c r="T54" s="72"/>
      <c r="U54" s="72"/>
      <c r="V54" s="72" t="s">
        <v>303</v>
      </c>
      <c r="W54" s="72" t="s">
        <v>304</v>
      </c>
      <c r="X54" s="72" t="s">
        <v>305</v>
      </c>
      <c r="Y54" s="72" t="s">
        <v>306</v>
      </c>
      <c r="Z54" s="72" t="s">
        <v>307</v>
      </c>
      <c r="AA54" s="72" t="s">
        <v>308</v>
      </c>
      <c r="AB54" s="72" t="s">
        <v>309</v>
      </c>
      <c r="AC54" s="72" t="s">
        <v>340</v>
      </c>
      <c r="AD54" s="72" t="s">
        <v>355</v>
      </c>
      <c r="AE54" s="72" t="s">
        <v>356</v>
      </c>
      <c r="AF54" s="72" t="s">
        <v>341</v>
      </c>
      <c r="AG54" s="72" t="s">
        <v>342</v>
      </c>
      <c r="AH54" s="72" t="s">
        <v>343</v>
      </c>
      <c r="AI54" s="72" t="s">
        <v>344</v>
      </c>
      <c r="AJ54" s="72" t="s">
        <v>345</v>
      </c>
      <c r="AK54" s="72" t="s">
        <v>346</v>
      </c>
      <c r="AL54" s="72" t="s">
        <v>347</v>
      </c>
      <c r="AM54" s="72" t="s">
        <v>348</v>
      </c>
      <c r="AN54" s="72" t="s">
        <v>349</v>
      </c>
      <c r="AO54" s="72" t="s">
        <v>350</v>
      </c>
      <c r="AP54" s="72" t="s">
        <v>353</v>
      </c>
    </row>
    <row r="55" spans="1:42" ht="13.15" customHeight="1">
      <c r="A55" s="342" t="s">
        <v>315</v>
      </c>
      <c r="B55" s="1914" t="s">
        <v>861</v>
      </c>
      <c r="C55" s="1915"/>
      <c r="D55" s="1915"/>
      <c r="E55" s="1915"/>
      <c r="F55" s="1915"/>
      <c r="G55" s="1915"/>
      <c r="H55" s="1915"/>
      <c r="I55" s="1915"/>
      <c r="J55" s="1915"/>
      <c r="K55" s="1915"/>
      <c r="L55" s="1915"/>
      <c r="M55" s="1915"/>
      <c r="N55" s="1915"/>
      <c r="O55" s="1915"/>
      <c r="P55" s="1915"/>
      <c r="Q55" s="1915"/>
      <c r="R55" s="1915"/>
      <c r="S55" s="1915"/>
      <c r="T55" s="1915"/>
      <c r="U55" s="1916"/>
      <c r="V55" s="108">
        <f>V19*AE91</f>
        <v>22035505.213960234</v>
      </c>
      <c r="W55" s="107">
        <v>21666000</v>
      </c>
      <c r="X55" s="107">
        <v>21491000</v>
      </c>
      <c r="Y55" s="107">
        <v>21057000</v>
      </c>
      <c r="Z55" s="107">
        <v>13569000</v>
      </c>
      <c r="AA55" s="107">
        <v>14217000</v>
      </c>
      <c r="AB55" s="107">
        <v>18175000</v>
      </c>
      <c r="AC55" s="108">
        <f>AB55+(AB55*AC87)</f>
        <v>19281461.491489537</v>
      </c>
      <c r="AD55" s="73">
        <f t="shared" ref="AD55:AD63" si="36">AVERAGE(W55:AB55)</f>
        <v>18362500</v>
      </c>
      <c r="AE55" s="107">
        <f t="shared" ref="AE55:AE63" si="37">AVERAGE(W55:Y55)</f>
        <v>21404666.666666668</v>
      </c>
      <c r="AF55" s="108">
        <f t="shared" ref="AF55:AF62" si="38">AC55</f>
        <v>19281461.491489537</v>
      </c>
      <c r="AG55" s="108">
        <f t="shared" ref="AG55:AO55" si="39">AF55+(AF55*AG79)</f>
        <v>18991980.550136454</v>
      </c>
      <c r="AH55" s="108">
        <f t="shared" si="39"/>
        <v>18706845.711667929</v>
      </c>
      <c r="AI55" s="108">
        <f t="shared" si="39"/>
        <v>18425991.726156987</v>
      </c>
      <c r="AJ55" s="108">
        <f t="shared" si="39"/>
        <v>18149354.323302105</v>
      </c>
      <c r="AK55" s="108">
        <f t="shared" si="39"/>
        <v>17876870.197719656</v>
      </c>
      <c r="AL55" s="108">
        <f t="shared" si="39"/>
        <v>17608476.994457189</v>
      </c>
      <c r="AM55" s="108">
        <f t="shared" si="39"/>
        <v>17344113.294724185</v>
      </c>
      <c r="AN55" s="108">
        <f t="shared" si="39"/>
        <v>17083718.601837061</v>
      </c>
      <c r="AO55" s="108">
        <f t="shared" si="39"/>
        <v>16827233.327375174</v>
      </c>
      <c r="AP55" s="73"/>
    </row>
    <row r="56" spans="1:42">
      <c r="A56" s="342" t="s">
        <v>310</v>
      </c>
      <c r="B56" s="1914" t="s">
        <v>856</v>
      </c>
      <c r="C56" s="1915"/>
      <c r="D56" s="1915"/>
      <c r="E56" s="1915"/>
      <c r="F56" s="1915"/>
      <c r="G56" s="1915"/>
      <c r="H56" s="1915"/>
      <c r="I56" s="1915"/>
      <c r="J56" s="1915"/>
      <c r="K56" s="1915"/>
      <c r="L56" s="1915"/>
      <c r="M56" s="1915"/>
      <c r="N56" s="1915"/>
      <c r="O56" s="1915"/>
      <c r="P56" s="1915"/>
      <c r="Q56" s="1915"/>
      <c r="R56" s="1915"/>
      <c r="S56" s="1915"/>
      <c r="T56" s="1915"/>
      <c r="U56" s="1916"/>
      <c r="V56" s="108">
        <f t="shared" ref="V56:AB57" si="40">V20*V92</f>
        <v>9924856.297384385</v>
      </c>
      <c r="W56" s="108">
        <f t="shared" si="40"/>
        <v>10347766.705379458</v>
      </c>
      <c r="X56" s="108">
        <f t="shared" si="40"/>
        <v>11512059.688365895</v>
      </c>
      <c r="Y56" s="108">
        <f t="shared" si="40"/>
        <v>11620366.012364633</v>
      </c>
      <c r="Z56" s="108">
        <f t="shared" si="40"/>
        <v>7352581.10241435</v>
      </c>
      <c r="AA56" s="108">
        <f t="shared" si="40"/>
        <v>8278342.3004035652</v>
      </c>
      <c r="AB56" s="108">
        <f t="shared" si="40"/>
        <v>9120295.0333937574</v>
      </c>
      <c r="AC56" s="108">
        <f>AB56+(AB56*AC87)</f>
        <v>9675522.2821130678</v>
      </c>
      <c r="AD56" s="73">
        <f t="shared" si="36"/>
        <v>9705235.1403869428</v>
      </c>
      <c r="AE56" s="73">
        <f t="shared" si="37"/>
        <v>11160064.135369996</v>
      </c>
      <c r="AF56" s="108">
        <f t="shared" si="38"/>
        <v>9675522.2821130678</v>
      </c>
      <c r="AG56" s="108">
        <f t="shared" ref="AG56:AO56" si="41">AF56+(AF56*AE80)</f>
        <v>10206178.452223534</v>
      </c>
      <c r="AH56" s="108">
        <f t="shared" si="41"/>
        <v>10206178.452223534</v>
      </c>
      <c r="AI56" s="108">
        <f t="shared" si="41"/>
        <v>10765938.577930991</v>
      </c>
      <c r="AJ56" s="108">
        <f t="shared" si="41"/>
        <v>11356398.872148998</v>
      </c>
      <c r="AK56" s="108">
        <f t="shared" si="41"/>
        <v>11979243.09244315</v>
      </c>
      <c r="AL56" s="108">
        <f t="shared" si="41"/>
        <v>12636247.342436964</v>
      </c>
      <c r="AM56" s="108">
        <f t="shared" si="41"/>
        <v>13329285.136551961</v>
      </c>
      <c r="AN56" s="108">
        <f t="shared" si="41"/>
        <v>14060332.742524533</v>
      </c>
      <c r="AO56" s="108">
        <f t="shared" si="41"/>
        <v>14831474.816934327</v>
      </c>
      <c r="AP56" s="73"/>
    </row>
    <row r="57" spans="1:42" ht="13.15" customHeight="1">
      <c r="A57" s="342" t="s">
        <v>317</v>
      </c>
      <c r="B57" s="1914" t="s">
        <v>857</v>
      </c>
      <c r="C57" s="1915"/>
      <c r="D57" s="1915"/>
      <c r="E57" s="1915"/>
      <c r="F57" s="1915"/>
      <c r="G57" s="1915"/>
      <c r="H57" s="1915"/>
      <c r="I57" s="1915"/>
      <c r="J57" s="1915"/>
      <c r="K57" s="1915"/>
      <c r="L57" s="1915"/>
      <c r="M57" s="1915"/>
      <c r="N57" s="1915"/>
      <c r="O57" s="1915"/>
      <c r="P57" s="1915"/>
      <c r="Q57" s="1915"/>
      <c r="R57" s="1915"/>
      <c r="S57" s="1915"/>
      <c r="T57" s="1915"/>
      <c r="U57" s="1916"/>
      <c r="V57" s="108">
        <f t="shared" si="40"/>
        <v>15760504.183316406</v>
      </c>
      <c r="W57" s="108">
        <f t="shared" si="40"/>
        <v>15308583.152821669</v>
      </c>
      <c r="X57" s="108">
        <f t="shared" si="40"/>
        <v>15591597.892318374</v>
      </c>
      <c r="Y57" s="108">
        <f t="shared" si="40"/>
        <v>15777910.556816204</v>
      </c>
      <c r="Z57" s="108">
        <f t="shared" si="40"/>
        <v>9715335.1348868255</v>
      </c>
      <c r="AA57" s="108">
        <f t="shared" si="40"/>
        <v>8922378.1198960636</v>
      </c>
      <c r="AB57" s="108">
        <f t="shared" si="40"/>
        <v>12541614.446853902</v>
      </c>
      <c r="AC57" s="108">
        <f>AB57+(AB57*AC87)</f>
        <v>13305125.501959966</v>
      </c>
      <c r="AD57" s="73">
        <f t="shared" si="36"/>
        <v>12976236.550598839</v>
      </c>
      <c r="AE57" s="73">
        <f t="shared" si="37"/>
        <v>15559363.867318749</v>
      </c>
      <c r="AF57" s="108">
        <f t="shared" si="38"/>
        <v>13305125.501959966</v>
      </c>
      <c r="AG57" s="108">
        <f t="shared" ref="AG57:AO62" si="42">AF57+(AF57*AE81)</f>
        <v>13312942.727667049</v>
      </c>
      <c r="AH57" s="108">
        <f t="shared" si="42"/>
        <v>13312942.727667049</v>
      </c>
      <c r="AI57" s="108">
        <f t="shared" si="42"/>
        <v>13320764.546267128</v>
      </c>
      <c r="AJ57" s="108">
        <f t="shared" si="42"/>
        <v>13328590.96045869</v>
      </c>
      <c r="AK57" s="108">
        <f t="shared" si="42"/>
        <v>13336421.972941807</v>
      </c>
      <c r="AL57" s="108">
        <f t="shared" si="42"/>
        <v>13344257.586418133</v>
      </c>
      <c r="AM57" s="108">
        <f t="shared" si="42"/>
        <v>13352097.803590914</v>
      </c>
      <c r="AN57" s="108">
        <f t="shared" si="42"/>
        <v>13359942.627164982</v>
      </c>
      <c r="AO57" s="108">
        <f t="shared" si="42"/>
        <v>13367792.059846757</v>
      </c>
      <c r="AP57" s="73"/>
    </row>
    <row r="58" spans="1:42" ht="13.15" customHeight="1">
      <c r="A58" s="342" t="s">
        <v>313</v>
      </c>
      <c r="B58" s="1914" t="s">
        <v>859</v>
      </c>
      <c r="C58" s="1915"/>
      <c r="D58" s="1915"/>
      <c r="E58" s="1915"/>
      <c r="F58" s="1915"/>
      <c r="G58" s="1915"/>
      <c r="H58" s="1915"/>
      <c r="I58" s="1915"/>
      <c r="J58" s="1915"/>
      <c r="K58" s="1915"/>
      <c r="L58" s="1915"/>
      <c r="M58" s="1915"/>
      <c r="N58" s="1915"/>
      <c r="O58" s="1915"/>
      <c r="P58" s="1915"/>
      <c r="Q58" s="1915"/>
      <c r="R58" s="1915"/>
      <c r="S58" s="1915"/>
      <c r="T58" s="1915"/>
      <c r="U58" s="1916"/>
      <c r="V58" s="108">
        <f>V22*V94</f>
        <v>18454524.200302899</v>
      </c>
      <c r="W58" s="107">
        <v>18740503</v>
      </c>
      <c r="X58" s="107">
        <v>18100520</v>
      </c>
      <c r="Y58" s="107">
        <v>17596582</v>
      </c>
      <c r="Z58" s="107">
        <v>11452407</v>
      </c>
      <c r="AA58" s="107">
        <v>10983172</v>
      </c>
      <c r="AB58" s="107">
        <v>13861366</v>
      </c>
      <c r="AC58" s="107">
        <v>14486133</v>
      </c>
      <c r="AD58" s="73">
        <f>AVERAGE(W58:AC58)</f>
        <v>15031526.142857144</v>
      </c>
      <c r="AE58" s="107">
        <f t="shared" si="37"/>
        <v>18145868.333333332</v>
      </c>
      <c r="AF58" s="108">
        <f t="shared" si="38"/>
        <v>14486133</v>
      </c>
      <c r="AG58" s="108">
        <f t="shared" si="42"/>
        <v>14037107.289898766</v>
      </c>
      <c r="AH58" s="108">
        <f t="shared" si="42"/>
        <v>14037107.289898766</v>
      </c>
      <c r="AI58" s="108">
        <f t="shared" si="42"/>
        <v>13602000.000146974</v>
      </c>
      <c r="AJ58" s="108">
        <f t="shared" si="42"/>
        <v>13180379.702386145</v>
      </c>
      <c r="AK58" s="108">
        <f t="shared" si="42"/>
        <v>12771828.3412142</v>
      </c>
      <c r="AL58" s="108">
        <f t="shared" si="42"/>
        <v>12375940.819664815</v>
      </c>
      <c r="AM58" s="108">
        <f t="shared" si="42"/>
        <v>11992324.597535636</v>
      </c>
      <c r="AN58" s="108">
        <f t="shared" si="42"/>
        <v>11620599.302167099</v>
      </c>
      <c r="AO58" s="108">
        <f t="shared" si="42"/>
        <v>11260396.351285903</v>
      </c>
      <c r="AP58" s="73"/>
    </row>
    <row r="59" spans="1:42" ht="13.15" customHeight="1">
      <c r="A59" s="342" t="s">
        <v>316</v>
      </c>
      <c r="B59" s="1914" t="s">
        <v>858</v>
      </c>
      <c r="C59" s="1915"/>
      <c r="D59" s="1915"/>
      <c r="E59" s="1915"/>
      <c r="F59" s="1915"/>
      <c r="G59" s="1915"/>
      <c r="H59" s="1915"/>
      <c r="I59" s="1915"/>
      <c r="J59" s="1915"/>
      <c r="K59" s="1915"/>
      <c r="L59" s="1915"/>
      <c r="M59" s="1915"/>
      <c r="N59" s="1915"/>
      <c r="O59" s="1915"/>
      <c r="P59" s="1915"/>
      <c r="Q59" s="1915"/>
      <c r="R59" s="1915"/>
      <c r="S59" s="1915"/>
      <c r="T59" s="1915"/>
      <c r="U59" s="1916"/>
      <c r="V59" s="108">
        <f>V23*V95</f>
        <v>17709373.334793702</v>
      </c>
      <c r="W59" s="108">
        <f t="shared" ref="W59:AB59" si="43">W23*W95</f>
        <v>17076297.08380108</v>
      </c>
      <c r="X59" s="108">
        <f t="shared" si="43"/>
        <v>16628244.136306297</v>
      </c>
      <c r="Y59" s="108">
        <f t="shared" si="43"/>
        <v>16406474.04430888</v>
      </c>
      <c r="Z59" s="108">
        <f t="shared" si="43"/>
        <v>10238815.700880729</v>
      </c>
      <c r="AA59" s="108">
        <f t="shared" si="43"/>
        <v>10846749.412373645</v>
      </c>
      <c r="AB59" s="108">
        <f t="shared" si="43"/>
        <v>13902534.982338049</v>
      </c>
      <c r="AC59" s="108">
        <f>AB59+(AB59*AC87)</f>
        <v>14748896.445449093</v>
      </c>
      <c r="AD59" s="73">
        <f t="shared" si="36"/>
        <v>14183185.893334782</v>
      </c>
      <c r="AE59" s="73">
        <f t="shared" si="37"/>
        <v>16703671.754805418</v>
      </c>
      <c r="AF59" s="108">
        <f t="shared" si="38"/>
        <v>14748896.445449093</v>
      </c>
      <c r="AG59" s="108">
        <f t="shared" si="42"/>
        <v>14378584.411540389</v>
      </c>
      <c r="AH59" s="108">
        <f t="shared" si="42"/>
        <v>14378584.411540389</v>
      </c>
      <c r="AI59" s="108">
        <f t="shared" si="42"/>
        <v>14017570.090376826</v>
      </c>
      <c r="AJ59" s="108">
        <f t="shared" si="42"/>
        <v>13665620.037040669</v>
      </c>
      <c r="AK59" s="108">
        <f t="shared" si="42"/>
        <v>13322506.667897616</v>
      </c>
      <c r="AL59" s="108">
        <f t="shared" si="42"/>
        <v>12988008.113432974</v>
      </c>
      <c r="AM59" s="108">
        <f t="shared" si="42"/>
        <v>12661908.074782817</v>
      </c>
      <c r="AN59" s="108">
        <f t="shared" si="42"/>
        <v>12343995.683867315</v>
      </c>
      <c r="AO59" s="108">
        <f t="shared" si="42"/>
        <v>12034065.367035806</v>
      </c>
      <c r="AP59" s="73"/>
    </row>
    <row r="60" spans="1:42">
      <c r="A60" s="342" t="s">
        <v>312</v>
      </c>
      <c r="B60" s="1911" t="s">
        <v>855</v>
      </c>
      <c r="C60" s="1912"/>
      <c r="D60" s="1912"/>
      <c r="E60" s="1912"/>
      <c r="F60" s="1912"/>
      <c r="G60" s="1912"/>
      <c r="H60" s="1912"/>
      <c r="I60" s="1912"/>
      <c r="J60" s="1912"/>
      <c r="K60" s="1912"/>
      <c r="L60" s="1912"/>
      <c r="M60" s="1912"/>
      <c r="N60" s="1912"/>
      <c r="O60" s="1912"/>
      <c r="P60" s="1912"/>
      <c r="Q60" s="1912"/>
      <c r="R60" s="1912"/>
      <c r="S60" s="1912"/>
      <c r="T60" s="1912"/>
      <c r="U60" s="1913"/>
      <c r="V60" s="108">
        <f>V24*V96</f>
        <v>22635847.262678534</v>
      </c>
      <c r="W60" s="107">
        <v>21819501</v>
      </c>
      <c r="X60" s="107">
        <v>21315444</v>
      </c>
      <c r="Y60" s="107">
        <v>20979525</v>
      </c>
      <c r="Z60" s="107">
        <v>13553733</v>
      </c>
      <c r="AA60" s="107">
        <v>13520076</v>
      </c>
      <c r="AB60" s="107">
        <v>17008803</v>
      </c>
      <c r="AC60" s="108">
        <f>AB60+(AB60*AC88)</f>
        <v>17008803</v>
      </c>
      <c r="AD60" s="73">
        <f t="shared" si="36"/>
        <v>18032847</v>
      </c>
      <c r="AE60" s="107">
        <f t="shared" si="37"/>
        <v>21371490</v>
      </c>
      <c r="AF60" s="108">
        <f t="shared" si="38"/>
        <v>17008803</v>
      </c>
      <c r="AG60" s="108">
        <f t="shared" si="42"/>
        <v>16584008.449369233</v>
      </c>
      <c r="AH60" s="108">
        <f t="shared" si="42"/>
        <v>16584008.449369233</v>
      </c>
      <c r="AI60" s="108">
        <f t="shared" si="42"/>
        <v>16169823.135040727</v>
      </c>
      <c r="AJ60" s="108">
        <f t="shared" si="42"/>
        <v>15765982.091527635</v>
      </c>
      <c r="AK60" s="108">
        <f t="shared" si="42"/>
        <v>15372226.970851406</v>
      </c>
      <c r="AL60" s="108">
        <f t="shared" si="42"/>
        <v>14988305.877269631</v>
      </c>
      <c r="AM60" s="108">
        <f t="shared" si="42"/>
        <v>14613973.206131561</v>
      </c>
      <c r="AN60" s="108">
        <f t="shared" si="42"/>
        <v>14248989.486758202</v>
      </c>
      <c r="AO60" s="108">
        <f t="shared" si="42"/>
        <v>13893121.229246492</v>
      </c>
      <c r="AP60" s="73"/>
    </row>
    <row r="61" spans="1:42">
      <c r="A61" s="342" t="s">
        <v>311</v>
      </c>
      <c r="B61" s="1911" t="s">
        <v>859</v>
      </c>
      <c r="C61" s="1912"/>
      <c r="D61" s="1912"/>
      <c r="E61" s="1912"/>
      <c r="F61" s="1912"/>
      <c r="G61" s="1912"/>
      <c r="H61" s="1912"/>
      <c r="I61" s="1912"/>
      <c r="J61" s="1912"/>
      <c r="K61" s="1912"/>
      <c r="L61" s="1912"/>
      <c r="M61" s="1912"/>
      <c r="N61" s="1912"/>
      <c r="O61" s="1912"/>
      <c r="P61" s="1912"/>
      <c r="Q61" s="1912"/>
      <c r="R61" s="1912"/>
      <c r="S61" s="1912"/>
      <c r="T61" s="1912"/>
      <c r="U61" s="1913"/>
      <c r="V61" s="108">
        <f>V25*V97</f>
        <v>15971418.835276989</v>
      </c>
      <c r="W61" s="107">
        <v>16283320</v>
      </c>
      <c r="X61" s="107">
        <v>15785692</v>
      </c>
      <c r="Y61" s="107">
        <v>15497538</v>
      </c>
      <c r="Z61" s="107">
        <v>9247848</v>
      </c>
      <c r="AA61" s="107">
        <v>9473837</v>
      </c>
      <c r="AB61" s="107">
        <v>12517802</v>
      </c>
      <c r="AC61" s="107">
        <v>13259884</v>
      </c>
      <c r="AD61" s="73">
        <f>AVERAGE(W61:AC61)</f>
        <v>13152274.428571429</v>
      </c>
      <c r="AE61" s="107">
        <f t="shared" si="37"/>
        <v>15855516.666666666</v>
      </c>
      <c r="AF61" s="108">
        <f t="shared" si="38"/>
        <v>13259884</v>
      </c>
      <c r="AG61" s="108">
        <f>AF61+(AF61*AE85)</f>
        <v>13130440.940987693</v>
      </c>
      <c r="AH61" s="108">
        <f t="shared" si="42"/>
        <v>13130440.940987693</v>
      </c>
      <c r="AI61" s="108">
        <f t="shared" si="42"/>
        <v>13002261.505814513</v>
      </c>
      <c r="AJ61" s="108">
        <f t="shared" si="42"/>
        <v>12875333.358977739</v>
      </c>
      <c r="AK61" s="108">
        <f t="shared" si="42"/>
        <v>12749644.28539389</v>
      </c>
      <c r="AL61" s="108">
        <f t="shared" si="42"/>
        <v>12625182.189223202</v>
      </c>
      <c r="AM61" s="108">
        <f t="shared" si="42"/>
        <v>12501935.092705559</v>
      </c>
      <c r="AN61" s="108">
        <f t="shared" si="42"/>
        <v>12379891.135007804</v>
      </c>
      <c r="AO61" s="108">
        <f t="shared" si="42"/>
        <v>12259038.571082301</v>
      </c>
      <c r="AP61" s="73"/>
    </row>
    <row r="62" spans="1:42" ht="13.15" customHeight="1">
      <c r="A62" s="342" t="s">
        <v>314</v>
      </c>
      <c r="B62" s="1914" t="s">
        <v>860</v>
      </c>
      <c r="C62" s="1915"/>
      <c r="D62" s="1915"/>
      <c r="E62" s="1915"/>
      <c r="F62" s="1915"/>
      <c r="G62" s="1915"/>
      <c r="H62" s="1915"/>
      <c r="I62" s="1915"/>
      <c r="J62" s="1915"/>
      <c r="K62" s="1915"/>
      <c r="L62" s="1915"/>
      <c r="M62" s="1915"/>
      <c r="N62" s="1915"/>
      <c r="O62" s="1915"/>
      <c r="P62" s="1915"/>
      <c r="Q62" s="1915"/>
      <c r="R62" s="1915"/>
      <c r="S62" s="1915"/>
      <c r="T62" s="1915"/>
      <c r="U62" s="1916"/>
      <c r="V62" s="108">
        <f>V26*V98</f>
        <v>28672687.25235296</v>
      </c>
      <c r="W62" s="108">
        <f>W26*W98</f>
        <v>27558153.598851815</v>
      </c>
      <c r="X62" s="108">
        <f>X26*X98</f>
        <v>27315798.629902571</v>
      </c>
      <c r="Y62" s="107">
        <v>27101120</v>
      </c>
      <c r="Z62" s="107">
        <v>17305207</v>
      </c>
      <c r="AA62" s="107">
        <v>16650711</v>
      </c>
      <c r="AB62" s="107">
        <v>21910576</v>
      </c>
      <c r="AC62" s="107">
        <v>23625735</v>
      </c>
      <c r="AD62" s="73">
        <f>AVERAGE(W62:AC62)</f>
        <v>23066757.318393487</v>
      </c>
      <c r="AE62" s="107">
        <f t="shared" si="37"/>
        <v>27325024.076251462</v>
      </c>
      <c r="AF62" s="108">
        <f t="shared" si="38"/>
        <v>23625735</v>
      </c>
      <c r="AG62" s="108">
        <f t="shared" si="42"/>
        <v>23188467.01389014</v>
      </c>
      <c r="AH62" s="108">
        <f t="shared" si="42"/>
        <v>23188467.01389014</v>
      </c>
      <c r="AI62" s="108">
        <f t="shared" si="42"/>
        <v>22759292.037021119</v>
      </c>
      <c r="AJ62" s="108">
        <f t="shared" si="42"/>
        <v>22338060.282990422</v>
      </c>
      <c r="AK62" s="108">
        <f t="shared" si="42"/>
        <v>21924624.737660557</v>
      </c>
      <c r="AL62" s="108">
        <f t="shared" si="42"/>
        <v>21518841.107849624</v>
      </c>
      <c r="AM62" s="108">
        <f t="shared" si="42"/>
        <v>21120567.770971533</v>
      </c>
      <c r="AN62" s="108">
        <f t="shared" si="42"/>
        <v>20729665.725608308</v>
      </c>
      <c r="AO62" s="108">
        <f t="shared" si="42"/>
        <v>20345998.54299717</v>
      </c>
      <c r="AP62" s="73"/>
    </row>
    <row r="63" spans="1:42" s="61" customFormat="1">
      <c r="A63" s="341" t="s">
        <v>203</v>
      </c>
      <c r="B63" s="1911"/>
      <c r="C63" s="1912"/>
      <c r="D63" s="1912"/>
      <c r="E63" s="1912"/>
      <c r="F63" s="1912"/>
      <c r="G63" s="1912"/>
      <c r="H63" s="1912"/>
      <c r="I63" s="1912"/>
      <c r="J63" s="1912"/>
      <c r="K63" s="1912"/>
      <c r="L63" s="1912"/>
      <c r="M63" s="1912"/>
      <c r="N63" s="1912"/>
      <c r="O63" s="1912"/>
      <c r="P63" s="1912"/>
      <c r="Q63" s="1912"/>
      <c r="R63" s="1912"/>
      <c r="S63" s="1912"/>
      <c r="T63" s="1912"/>
      <c r="U63" s="1913"/>
      <c r="V63" s="75">
        <f t="shared" ref="V63:AC63" si="44">SUM(V55:V62)</f>
        <v>151164716.58006611</v>
      </c>
      <c r="W63" s="75">
        <f t="shared" si="44"/>
        <v>148800124.54085404</v>
      </c>
      <c r="X63" s="75">
        <f t="shared" si="44"/>
        <v>147740356.34689313</v>
      </c>
      <c r="Y63" s="75">
        <f t="shared" si="44"/>
        <v>146036515.61348972</v>
      </c>
      <c r="Z63" s="75">
        <f t="shared" si="44"/>
        <v>92434926.938181907</v>
      </c>
      <c r="AA63" s="75">
        <f t="shared" si="44"/>
        <v>92892265.832673281</v>
      </c>
      <c r="AB63" s="75">
        <f t="shared" si="44"/>
        <v>119037991.46258572</v>
      </c>
      <c r="AC63" s="75">
        <f t="shared" si="44"/>
        <v>125391560.72101167</v>
      </c>
      <c r="AD63" s="101">
        <f t="shared" si="36"/>
        <v>124490363.45577963</v>
      </c>
      <c r="AE63" s="101">
        <f t="shared" si="37"/>
        <v>147525665.50041232</v>
      </c>
      <c r="AF63" s="75">
        <f t="shared" ref="AF63:AO63" si="45">SUM(AF55:AF62)</f>
        <v>125391560.72101167</v>
      </c>
      <c r="AG63" s="75">
        <f t="shared" si="45"/>
        <v>123829709.83571327</v>
      </c>
      <c r="AH63" s="75">
        <f t="shared" si="45"/>
        <v>123544574.99724475</v>
      </c>
      <c r="AI63" s="75">
        <f t="shared" si="45"/>
        <v>122063641.61875525</v>
      </c>
      <c r="AJ63" s="75">
        <f t="shared" si="45"/>
        <v>120659719.6288324</v>
      </c>
      <c r="AK63" s="75">
        <f t="shared" si="45"/>
        <v>119333366.26612228</v>
      </c>
      <c r="AL63" s="75">
        <f t="shared" si="45"/>
        <v>118085260.03075254</v>
      </c>
      <c r="AM63" s="75">
        <f t="shared" si="45"/>
        <v>116916204.97699417</v>
      </c>
      <c r="AN63" s="75">
        <f t="shared" si="45"/>
        <v>115827135.30493531</v>
      </c>
      <c r="AO63" s="75">
        <f t="shared" si="45"/>
        <v>114819120.26580392</v>
      </c>
      <c r="AP63" s="97"/>
    </row>
    <row r="65" spans="1:42">
      <c r="A65" s="71">
        <v>6</v>
      </c>
      <c r="B65" s="71" t="s">
        <v>265</v>
      </c>
      <c r="C65" s="1910" t="s">
        <v>319</v>
      </c>
      <c r="D65" s="1910"/>
      <c r="E65" s="1910"/>
      <c r="F65" s="1910"/>
      <c r="G65" s="1910"/>
      <c r="H65" s="1910"/>
      <c r="I65" s="1910"/>
      <c r="J65" s="1910"/>
      <c r="K65" s="1910"/>
      <c r="L65" s="1910"/>
      <c r="M65" s="1910"/>
      <c r="N65" s="1910"/>
      <c r="O65" s="1910"/>
      <c r="P65" s="1910"/>
      <c r="Q65" s="1910"/>
      <c r="R65" s="1910"/>
      <c r="S65" s="1910"/>
      <c r="T65" s="1910"/>
      <c r="U65" s="1910"/>
      <c r="V65" s="1910"/>
      <c r="W65" s="1910"/>
      <c r="X65" s="1910"/>
      <c r="Y65" s="1910"/>
      <c r="Z65" s="1910"/>
      <c r="AA65" s="1910"/>
      <c r="AB65" s="1910"/>
      <c r="AC65" s="86"/>
      <c r="AD65" s="86"/>
      <c r="AE65" s="96"/>
      <c r="AF65" s="96"/>
      <c r="AG65" s="96"/>
      <c r="AH65" s="96"/>
      <c r="AI65" s="96"/>
      <c r="AJ65" s="96"/>
      <c r="AK65" s="96"/>
      <c r="AL65" s="96"/>
      <c r="AM65" s="96"/>
      <c r="AN65" s="96"/>
      <c r="AO65" s="96"/>
      <c r="AP65" s="96"/>
    </row>
    <row r="66" spans="1:42">
      <c r="A66" s="71" t="s">
        <v>265</v>
      </c>
      <c r="B66" s="71" t="s">
        <v>357</v>
      </c>
      <c r="C66" s="72" t="s">
        <v>284</v>
      </c>
      <c r="D66" s="72" t="s">
        <v>285</v>
      </c>
      <c r="E66" s="72" t="s">
        <v>286</v>
      </c>
      <c r="F66" s="72" t="s">
        <v>287</v>
      </c>
      <c r="G66" s="72" t="s">
        <v>288</v>
      </c>
      <c r="H66" s="72" t="s">
        <v>289</v>
      </c>
      <c r="I66" s="72" t="s">
        <v>290</v>
      </c>
      <c r="J66" s="72" t="s">
        <v>291</v>
      </c>
      <c r="K66" s="72" t="s">
        <v>292</v>
      </c>
      <c r="L66" s="72" t="s">
        <v>293</v>
      </c>
      <c r="M66" s="72" t="s">
        <v>294</v>
      </c>
      <c r="N66" s="72" t="s">
        <v>295</v>
      </c>
      <c r="O66" s="72" t="s">
        <v>296</v>
      </c>
      <c r="P66" s="72" t="s">
        <v>297</v>
      </c>
      <c r="Q66" s="72" t="s">
        <v>298</v>
      </c>
      <c r="R66" s="72" t="s">
        <v>299</v>
      </c>
      <c r="S66" s="72" t="s">
        <v>300</v>
      </c>
      <c r="T66" s="72" t="s">
        <v>301</v>
      </c>
      <c r="U66" s="72" t="s">
        <v>302</v>
      </c>
      <c r="V66" s="72" t="s">
        <v>303</v>
      </c>
      <c r="W66" s="72" t="s">
        <v>304</v>
      </c>
      <c r="X66" s="72" t="s">
        <v>305</v>
      </c>
      <c r="Y66" s="72" t="s">
        <v>306</v>
      </c>
      <c r="Z66" s="72" t="s">
        <v>307</v>
      </c>
      <c r="AA66" s="72" t="s">
        <v>308</v>
      </c>
      <c r="AB66" s="72" t="s">
        <v>309</v>
      </c>
      <c r="AC66" s="72" t="s">
        <v>340</v>
      </c>
      <c r="AD66" s="72" t="s">
        <v>355</v>
      </c>
      <c r="AE66" s="72" t="s">
        <v>356</v>
      </c>
      <c r="AF66" s="72" t="s">
        <v>341</v>
      </c>
      <c r="AG66" s="72" t="s">
        <v>342</v>
      </c>
      <c r="AH66" s="72" t="s">
        <v>343</v>
      </c>
      <c r="AI66" s="72" t="s">
        <v>344</v>
      </c>
      <c r="AJ66" s="72" t="s">
        <v>345</v>
      </c>
      <c r="AK66" s="72" t="s">
        <v>346</v>
      </c>
      <c r="AL66" s="72" t="s">
        <v>347</v>
      </c>
      <c r="AM66" s="72" t="s">
        <v>348</v>
      </c>
      <c r="AN66" s="72" t="s">
        <v>349</v>
      </c>
      <c r="AO66" s="72" t="s">
        <v>350</v>
      </c>
      <c r="AP66" s="72" t="s">
        <v>353</v>
      </c>
    </row>
    <row r="67" spans="1:42">
      <c r="A67" s="72" t="s">
        <v>315</v>
      </c>
      <c r="B67" s="94"/>
      <c r="C67" s="76"/>
      <c r="D67" s="76"/>
      <c r="E67" s="76"/>
      <c r="F67" s="76"/>
      <c r="G67" s="76"/>
      <c r="H67" s="76"/>
      <c r="I67" s="76"/>
      <c r="J67" s="76"/>
      <c r="K67" s="76"/>
      <c r="L67" s="76"/>
      <c r="M67" s="76"/>
      <c r="N67" s="76"/>
      <c r="O67" s="76"/>
      <c r="P67" s="76"/>
      <c r="Q67" s="76"/>
      <c r="R67" s="76"/>
      <c r="S67" s="76"/>
      <c r="T67" s="76"/>
      <c r="U67" s="76"/>
      <c r="V67" s="76"/>
      <c r="W67" s="76">
        <f t="shared" ref="W67:W73" si="46">W55-V55</f>
        <v>-369505.21396023408</v>
      </c>
      <c r="X67" s="316">
        <f t="shared" ref="X67:AB74" si="47">X55-W55</f>
        <v>-175000</v>
      </c>
      <c r="Y67" s="316">
        <f t="shared" si="47"/>
        <v>-434000</v>
      </c>
      <c r="Z67" s="316">
        <f t="shared" si="47"/>
        <v>-7488000</v>
      </c>
      <c r="AA67" s="316">
        <f t="shared" si="47"/>
        <v>648000</v>
      </c>
      <c r="AB67" s="316">
        <f t="shared" si="47"/>
        <v>3958000</v>
      </c>
      <c r="AC67" s="76">
        <f t="shared" ref="AC67:AC74" si="48">AC55-AB55</f>
        <v>1106461.4914895371</v>
      </c>
      <c r="AD67" s="73">
        <f t="shared" ref="AD67:AD75" si="49">AVERAGE(X67:AB67)</f>
        <v>-698200</v>
      </c>
      <c r="AE67" s="168">
        <f t="shared" ref="AE67:AE75" si="50">AVERAGE(X67:Y67)</f>
        <v>-304500</v>
      </c>
      <c r="AF67" s="76">
        <f t="shared" ref="AF67:AF75" si="51">AF55-AC55</f>
        <v>0</v>
      </c>
      <c r="AG67" s="76">
        <f t="shared" ref="AG67:AO67" si="52">AG55-AF55</f>
        <v>-289480.94135308266</v>
      </c>
      <c r="AH67" s="76">
        <f t="shared" si="52"/>
        <v>-285134.83846852556</v>
      </c>
      <c r="AI67" s="76">
        <f t="shared" si="52"/>
        <v>-280853.98551094159</v>
      </c>
      <c r="AJ67" s="76">
        <f t="shared" si="52"/>
        <v>-276637.40285488218</v>
      </c>
      <c r="AK67" s="76">
        <f t="shared" si="52"/>
        <v>-272484.12558244914</v>
      </c>
      <c r="AL67" s="76">
        <f t="shared" si="52"/>
        <v>-268393.20326246694</v>
      </c>
      <c r="AM67" s="76">
        <f t="shared" si="52"/>
        <v>-264363.69973300397</v>
      </c>
      <c r="AN67" s="76">
        <f t="shared" si="52"/>
        <v>-260394.69288712367</v>
      </c>
      <c r="AO67" s="76">
        <f t="shared" si="52"/>
        <v>-256485.27446188778</v>
      </c>
      <c r="AP67" s="73"/>
    </row>
    <row r="68" spans="1:42">
      <c r="A68" s="72" t="s">
        <v>310</v>
      </c>
      <c r="B68" s="95"/>
      <c r="C68" s="76"/>
      <c r="D68" s="76"/>
      <c r="E68" s="76"/>
      <c r="F68" s="76"/>
      <c r="G68" s="76"/>
      <c r="H68" s="76"/>
      <c r="I68" s="76"/>
      <c r="J68" s="76"/>
      <c r="K68" s="76"/>
      <c r="L68" s="76"/>
      <c r="M68" s="76"/>
      <c r="N68" s="76"/>
      <c r="O68" s="76"/>
      <c r="P68" s="76"/>
      <c r="Q68" s="76"/>
      <c r="R68" s="76"/>
      <c r="S68" s="76"/>
      <c r="T68" s="76"/>
      <c r="U68" s="76"/>
      <c r="V68" s="76"/>
      <c r="W68" s="76">
        <f t="shared" si="46"/>
        <v>422910.40799507312</v>
      </c>
      <c r="X68" s="76">
        <f t="shared" si="47"/>
        <v>1164292.9829864372</v>
      </c>
      <c r="Y68" s="76">
        <f t="shared" si="47"/>
        <v>108306.32399873808</v>
      </c>
      <c r="Z68" s="76">
        <f t="shared" si="47"/>
        <v>-4267784.9099502834</v>
      </c>
      <c r="AA68" s="76">
        <f t="shared" si="47"/>
        <v>925761.19798921514</v>
      </c>
      <c r="AB68" s="76">
        <f t="shared" si="47"/>
        <v>841952.73299019225</v>
      </c>
      <c r="AC68" s="76">
        <f t="shared" si="48"/>
        <v>555227.24871931039</v>
      </c>
      <c r="AD68" s="73">
        <f t="shared" si="49"/>
        <v>-245494.33439714013</v>
      </c>
      <c r="AE68" s="73">
        <f t="shared" si="50"/>
        <v>636299.65349258762</v>
      </c>
      <c r="AF68" s="76">
        <f t="shared" si="51"/>
        <v>0</v>
      </c>
      <c r="AG68" s="76">
        <f t="shared" ref="AG68:AO68" si="53">AG56-AF56</f>
        <v>530656.17011046596</v>
      </c>
      <c r="AH68" s="76">
        <f t="shared" si="53"/>
        <v>0</v>
      </c>
      <c r="AI68" s="76">
        <f t="shared" si="53"/>
        <v>559760.12570745684</v>
      </c>
      <c r="AJ68" s="76">
        <f t="shared" si="53"/>
        <v>590460.29421800748</v>
      </c>
      <c r="AK68" s="76">
        <f t="shared" si="53"/>
        <v>622844.22029415146</v>
      </c>
      <c r="AL68" s="76">
        <f t="shared" si="53"/>
        <v>657004.24999381416</v>
      </c>
      <c r="AM68" s="76">
        <f t="shared" si="53"/>
        <v>693037.79411499761</v>
      </c>
      <c r="AN68" s="76">
        <f t="shared" si="53"/>
        <v>731047.6059725713</v>
      </c>
      <c r="AO68" s="76">
        <f t="shared" si="53"/>
        <v>771142.07440979406</v>
      </c>
      <c r="AP68" s="73"/>
    </row>
    <row r="69" spans="1:42">
      <c r="A69" s="72" t="s">
        <v>317</v>
      </c>
      <c r="B69" s="95"/>
      <c r="C69" s="76"/>
      <c r="D69" s="76"/>
      <c r="E69" s="76"/>
      <c r="F69" s="76"/>
      <c r="G69" s="76"/>
      <c r="H69" s="76"/>
      <c r="I69" s="76"/>
      <c r="J69" s="76"/>
      <c r="K69" s="76"/>
      <c r="L69" s="76"/>
      <c r="M69" s="76"/>
      <c r="N69" s="76"/>
      <c r="O69" s="76"/>
      <c r="P69" s="76"/>
      <c r="Q69" s="76"/>
      <c r="R69" s="76"/>
      <c r="S69" s="76"/>
      <c r="T69" s="76"/>
      <c r="U69" s="76"/>
      <c r="V69" s="76"/>
      <c r="W69" s="76">
        <f t="shared" si="46"/>
        <v>-451921.03049473651</v>
      </c>
      <c r="X69" s="76">
        <f t="shared" si="47"/>
        <v>283014.73949670419</v>
      </c>
      <c r="Y69" s="76">
        <f t="shared" si="47"/>
        <v>186312.66449782997</v>
      </c>
      <c r="Z69" s="76">
        <f t="shared" si="47"/>
        <v>-6062575.4219293781</v>
      </c>
      <c r="AA69" s="76">
        <f t="shared" si="47"/>
        <v>-792957.01499076188</v>
      </c>
      <c r="AB69" s="76">
        <f t="shared" si="47"/>
        <v>3619236.3269578386</v>
      </c>
      <c r="AC69" s="76">
        <f t="shared" si="48"/>
        <v>763511.0551060643</v>
      </c>
      <c r="AD69" s="73">
        <f t="shared" si="49"/>
        <v>-553393.74119355343</v>
      </c>
      <c r="AE69" s="73">
        <f t="shared" si="50"/>
        <v>234663.70199726708</v>
      </c>
      <c r="AF69" s="76">
        <f t="shared" si="51"/>
        <v>0</v>
      </c>
      <c r="AG69" s="76">
        <f t="shared" ref="AG69:AO69" si="54">AG57-AF57</f>
        <v>7817.2257070820779</v>
      </c>
      <c r="AH69" s="76">
        <f t="shared" si="54"/>
        <v>0</v>
      </c>
      <c r="AI69" s="76">
        <f t="shared" si="54"/>
        <v>7821.8186000790447</v>
      </c>
      <c r="AJ69" s="76">
        <f t="shared" si="54"/>
        <v>7826.4141915626824</v>
      </c>
      <c r="AK69" s="76">
        <f t="shared" si="54"/>
        <v>7831.0124831162393</v>
      </c>
      <c r="AL69" s="76">
        <f t="shared" si="54"/>
        <v>7835.6134763266891</v>
      </c>
      <c r="AM69" s="76">
        <f t="shared" si="54"/>
        <v>7840.2171727810055</v>
      </c>
      <c r="AN69" s="76">
        <f t="shared" si="54"/>
        <v>7844.8235740680248</v>
      </c>
      <c r="AO69" s="76">
        <f t="shared" si="54"/>
        <v>7849.4326817747205</v>
      </c>
      <c r="AP69" s="73"/>
    </row>
    <row r="70" spans="1:42">
      <c r="A70" s="72" t="s">
        <v>313</v>
      </c>
      <c r="B70" s="95"/>
      <c r="C70" s="76"/>
      <c r="D70" s="76"/>
      <c r="E70" s="76"/>
      <c r="F70" s="76"/>
      <c r="G70" s="76"/>
      <c r="H70" s="76"/>
      <c r="I70" s="76"/>
      <c r="J70" s="76"/>
      <c r="K70" s="76"/>
      <c r="L70" s="76"/>
      <c r="M70" s="76"/>
      <c r="N70" s="76"/>
      <c r="O70" s="76"/>
      <c r="P70" s="76"/>
      <c r="Q70" s="76"/>
      <c r="R70" s="76"/>
      <c r="S70" s="76"/>
      <c r="T70" s="76"/>
      <c r="U70" s="76"/>
      <c r="V70" s="76"/>
      <c r="W70" s="76">
        <f t="shared" si="46"/>
        <v>285978.79969710112</v>
      </c>
      <c r="X70" s="316">
        <f t="shared" si="47"/>
        <v>-639983</v>
      </c>
      <c r="Y70" s="316">
        <f t="shared" si="47"/>
        <v>-503938</v>
      </c>
      <c r="Z70" s="316">
        <f t="shared" si="47"/>
        <v>-6144175</v>
      </c>
      <c r="AA70" s="316">
        <f t="shared" si="47"/>
        <v>-469235</v>
      </c>
      <c r="AB70" s="316">
        <f t="shared" si="47"/>
        <v>2878194</v>
      </c>
      <c r="AC70" s="316">
        <f t="shared" si="48"/>
        <v>624767</v>
      </c>
      <c r="AD70" s="73">
        <f>AVERAGE(X70:AC70)</f>
        <v>-709061.66666666663</v>
      </c>
      <c r="AE70" s="168">
        <f t="shared" si="50"/>
        <v>-571960.5</v>
      </c>
      <c r="AF70" s="76">
        <f t="shared" si="51"/>
        <v>0</v>
      </c>
      <c r="AG70" s="76">
        <f t="shared" ref="AG70:AO70" si="55">AG58-AF58</f>
        <v>-449025.7101012338</v>
      </c>
      <c r="AH70" s="76">
        <f t="shared" si="55"/>
        <v>0</v>
      </c>
      <c r="AI70" s="76">
        <f t="shared" si="55"/>
        <v>-435107.28975179233</v>
      </c>
      <c r="AJ70" s="76">
        <f t="shared" si="55"/>
        <v>-421620.29776082933</v>
      </c>
      <c r="AK70" s="76">
        <f t="shared" si="55"/>
        <v>-408551.36117194407</v>
      </c>
      <c r="AL70" s="76">
        <f t="shared" si="55"/>
        <v>-395887.52154938504</v>
      </c>
      <c r="AM70" s="76">
        <f t="shared" si="55"/>
        <v>-383616.22212917916</v>
      </c>
      <c r="AN70" s="76">
        <f t="shared" si="55"/>
        <v>-371725.29536853731</v>
      </c>
      <c r="AO70" s="76">
        <f t="shared" si="55"/>
        <v>-360202.95088119619</v>
      </c>
      <c r="AP70" s="73"/>
    </row>
    <row r="71" spans="1:42">
      <c r="A71" s="72" t="s">
        <v>316</v>
      </c>
      <c r="B71" s="95"/>
      <c r="C71" s="76"/>
      <c r="D71" s="76"/>
      <c r="E71" s="76"/>
      <c r="F71" s="76"/>
      <c r="G71" s="76"/>
      <c r="H71" s="76"/>
      <c r="I71" s="76"/>
      <c r="J71" s="76"/>
      <c r="K71" s="76"/>
      <c r="L71" s="76"/>
      <c r="M71" s="76"/>
      <c r="N71" s="76"/>
      <c r="O71" s="76"/>
      <c r="P71" s="76"/>
      <c r="Q71" s="76"/>
      <c r="R71" s="76"/>
      <c r="S71" s="76"/>
      <c r="T71" s="76"/>
      <c r="U71" s="76"/>
      <c r="V71" s="76"/>
      <c r="W71" s="76">
        <f t="shared" si="46"/>
        <v>-633076.25099262223</v>
      </c>
      <c r="X71" s="76">
        <f t="shared" si="47"/>
        <v>-448052.94749478251</v>
      </c>
      <c r="Y71" s="76">
        <f t="shared" si="47"/>
        <v>-221770.09199741669</v>
      </c>
      <c r="Z71" s="76">
        <f t="shared" si="47"/>
        <v>-6167658.3434281517</v>
      </c>
      <c r="AA71" s="76">
        <f t="shared" si="47"/>
        <v>607933.71149291657</v>
      </c>
      <c r="AB71" s="76">
        <f t="shared" si="47"/>
        <v>3055785.5699644033</v>
      </c>
      <c r="AC71" s="76">
        <f t="shared" si="48"/>
        <v>846361.46311104484</v>
      </c>
      <c r="AD71" s="73">
        <f t="shared" si="49"/>
        <v>-634752.42029260623</v>
      </c>
      <c r="AE71" s="73">
        <f t="shared" si="50"/>
        <v>-334911.5197460996</v>
      </c>
      <c r="AF71" s="76">
        <f t="shared" si="51"/>
        <v>0</v>
      </c>
      <c r="AG71" s="76">
        <f t="shared" ref="AG71:AO71" si="56">AG59-AF59</f>
        <v>-370312.0339087043</v>
      </c>
      <c r="AH71" s="76">
        <f t="shared" si="56"/>
        <v>0</v>
      </c>
      <c r="AI71" s="76">
        <f t="shared" si="56"/>
        <v>-361014.32116356306</v>
      </c>
      <c r="AJ71" s="76">
        <f t="shared" si="56"/>
        <v>-351950.05333615653</v>
      </c>
      <c r="AK71" s="76">
        <f t="shared" si="56"/>
        <v>-343113.36914305389</v>
      </c>
      <c r="AL71" s="76">
        <f t="shared" si="56"/>
        <v>-334498.55446464196</v>
      </c>
      <c r="AM71" s="76">
        <f t="shared" si="56"/>
        <v>-326100.03865015693</v>
      </c>
      <c r="AN71" s="76">
        <f t="shared" si="56"/>
        <v>-317912.39091550186</v>
      </c>
      <c r="AO71" s="76">
        <f t="shared" si="56"/>
        <v>-309930.31683150865</v>
      </c>
      <c r="AP71" s="73"/>
    </row>
    <row r="72" spans="1:42">
      <c r="A72" s="72" t="s">
        <v>312</v>
      </c>
      <c r="B72" s="95"/>
      <c r="C72" s="76"/>
      <c r="D72" s="76"/>
      <c r="E72" s="76"/>
      <c r="F72" s="76"/>
      <c r="G72" s="76"/>
      <c r="H72" s="76"/>
      <c r="I72" s="76"/>
      <c r="J72" s="76"/>
      <c r="K72" s="76"/>
      <c r="L72" s="76"/>
      <c r="M72" s="76"/>
      <c r="N72" s="76"/>
      <c r="O72" s="76"/>
      <c r="P72" s="76"/>
      <c r="Q72" s="76"/>
      <c r="R72" s="76"/>
      <c r="S72" s="76"/>
      <c r="T72" s="76"/>
      <c r="U72" s="76"/>
      <c r="V72" s="76"/>
      <c r="W72" s="76">
        <f t="shared" si="46"/>
        <v>-816346.26267853379</v>
      </c>
      <c r="X72" s="316">
        <f t="shared" si="47"/>
        <v>-504057</v>
      </c>
      <c r="Y72" s="316">
        <f t="shared" si="47"/>
        <v>-335919</v>
      </c>
      <c r="Z72" s="316">
        <f t="shared" si="47"/>
        <v>-7425792</v>
      </c>
      <c r="AA72" s="316">
        <f t="shared" si="47"/>
        <v>-33657</v>
      </c>
      <c r="AB72" s="316">
        <f t="shared" si="47"/>
        <v>3488727</v>
      </c>
      <c r="AC72" s="76">
        <f t="shared" si="48"/>
        <v>0</v>
      </c>
      <c r="AD72" s="73">
        <f t="shared" si="49"/>
        <v>-962139.6</v>
      </c>
      <c r="AE72" s="168">
        <f t="shared" si="50"/>
        <v>-419988</v>
      </c>
      <c r="AF72" s="76">
        <f t="shared" si="51"/>
        <v>0</v>
      </c>
      <c r="AG72" s="76">
        <f t="shared" ref="AG72:AO72" si="57">AG60-AF60</f>
        <v>-424794.5506307669</v>
      </c>
      <c r="AH72" s="76">
        <f t="shared" si="57"/>
        <v>0</v>
      </c>
      <c r="AI72" s="76">
        <f t="shared" si="57"/>
        <v>-414185.31432850659</v>
      </c>
      <c r="AJ72" s="76">
        <f t="shared" si="57"/>
        <v>-403841.04351309128</v>
      </c>
      <c r="AK72" s="76">
        <f t="shared" si="57"/>
        <v>-393755.12067622878</v>
      </c>
      <c r="AL72" s="76">
        <f t="shared" si="57"/>
        <v>-383921.0935817752</v>
      </c>
      <c r="AM72" s="76">
        <f t="shared" si="57"/>
        <v>-374332.67113807052</v>
      </c>
      <c r="AN72" s="76">
        <f t="shared" si="57"/>
        <v>-364983.71937335841</v>
      </c>
      <c r="AO72" s="76">
        <f t="shared" si="57"/>
        <v>-355868.25751171075</v>
      </c>
      <c r="AP72" s="73"/>
    </row>
    <row r="73" spans="1:42">
      <c r="A73" s="72" t="s">
        <v>311</v>
      </c>
      <c r="B73" s="95"/>
      <c r="C73" s="76"/>
      <c r="D73" s="76"/>
      <c r="E73" s="76"/>
      <c r="F73" s="76"/>
      <c r="G73" s="76"/>
      <c r="H73" s="76"/>
      <c r="I73" s="76"/>
      <c r="J73" s="76"/>
      <c r="K73" s="76"/>
      <c r="L73" s="76"/>
      <c r="M73" s="76"/>
      <c r="N73" s="76"/>
      <c r="O73" s="76"/>
      <c r="P73" s="76"/>
      <c r="Q73" s="76"/>
      <c r="R73" s="76"/>
      <c r="S73" s="76"/>
      <c r="T73" s="76"/>
      <c r="U73" s="76"/>
      <c r="V73" s="76"/>
      <c r="W73" s="76">
        <f t="shared" si="46"/>
        <v>311901.16472301073</v>
      </c>
      <c r="X73" s="316">
        <f t="shared" si="47"/>
        <v>-497628</v>
      </c>
      <c r="Y73" s="316">
        <f t="shared" si="47"/>
        <v>-288154</v>
      </c>
      <c r="Z73" s="316">
        <f t="shared" si="47"/>
        <v>-6249690</v>
      </c>
      <c r="AA73" s="316">
        <f t="shared" si="47"/>
        <v>225989</v>
      </c>
      <c r="AB73" s="316">
        <f t="shared" si="47"/>
        <v>3043965</v>
      </c>
      <c r="AC73" s="316">
        <f t="shared" si="48"/>
        <v>742082</v>
      </c>
      <c r="AD73" s="73">
        <f>AVERAGE(X73:AC73)</f>
        <v>-503906</v>
      </c>
      <c r="AE73" s="168">
        <f t="shared" si="50"/>
        <v>-392891</v>
      </c>
      <c r="AF73" s="76">
        <f t="shared" si="51"/>
        <v>0</v>
      </c>
      <c r="AG73" s="76">
        <f t="shared" ref="AG73:AO73" si="58">AG61-AF61</f>
        <v>-129443.05901230685</v>
      </c>
      <c r="AH73" s="76">
        <f t="shared" si="58"/>
        <v>0</v>
      </c>
      <c r="AI73" s="76">
        <f t="shared" si="58"/>
        <v>-128179.43517317995</v>
      </c>
      <c r="AJ73" s="76">
        <f t="shared" si="58"/>
        <v>-126928.14683677442</v>
      </c>
      <c r="AK73" s="76">
        <f t="shared" si="58"/>
        <v>-125689.07358384877</v>
      </c>
      <c r="AL73" s="76">
        <f t="shared" si="58"/>
        <v>-124462.09617068805</v>
      </c>
      <c r="AM73" s="76">
        <f t="shared" si="58"/>
        <v>-123247.09651764296</v>
      </c>
      <c r="AN73" s="76">
        <f t="shared" si="58"/>
        <v>-122043.95769775473</v>
      </c>
      <c r="AO73" s="76">
        <f t="shared" si="58"/>
        <v>-120852.56392550282</v>
      </c>
      <c r="AP73" s="73"/>
    </row>
    <row r="74" spans="1:42">
      <c r="A74" s="72" t="s">
        <v>314</v>
      </c>
      <c r="B74" s="95"/>
      <c r="C74" s="76"/>
      <c r="D74" s="76"/>
      <c r="E74" s="76"/>
      <c r="F74" s="76"/>
      <c r="G74" s="76"/>
      <c r="H74" s="76"/>
      <c r="I74" s="76"/>
      <c r="J74" s="76"/>
      <c r="K74" s="76"/>
      <c r="L74" s="76"/>
      <c r="M74" s="76"/>
      <c r="N74" s="76"/>
      <c r="O74" s="76"/>
      <c r="P74" s="76"/>
      <c r="Q74" s="76"/>
      <c r="R74" s="76"/>
      <c r="S74" s="76"/>
      <c r="T74" s="76"/>
      <c r="U74" s="76"/>
      <c r="V74" s="76"/>
      <c r="W74" s="76">
        <f>W62-V62</f>
        <v>-1114533.6535011455</v>
      </c>
      <c r="X74" s="76">
        <f t="shared" si="47"/>
        <v>-242354.96894924343</v>
      </c>
      <c r="Y74" s="316">
        <f t="shared" si="47"/>
        <v>-214678.62990257144</v>
      </c>
      <c r="Z74" s="316">
        <f t="shared" si="47"/>
        <v>-9795913</v>
      </c>
      <c r="AA74" s="316">
        <f t="shared" si="47"/>
        <v>-654496</v>
      </c>
      <c r="AB74" s="316">
        <f t="shared" si="47"/>
        <v>5259865</v>
      </c>
      <c r="AC74" s="316">
        <f t="shared" si="48"/>
        <v>1715159</v>
      </c>
      <c r="AD74" s="73">
        <f>AVERAGE(X74:AC74)</f>
        <v>-655403.09980863577</v>
      </c>
      <c r="AE74" s="168">
        <f t="shared" si="50"/>
        <v>-228516.79942590743</v>
      </c>
      <c r="AF74" s="76">
        <f t="shared" si="51"/>
        <v>0</v>
      </c>
      <c r="AG74" s="76">
        <f t="shared" ref="AG74:AO74" si="59">AG62-AF62</f>
        <v>-437267.98610986024</v>
      </c>
      <c r="AH74" s="76">
        <f t="shared" si="59"/>
        <v>0</v>
      </c>
      <c r="AI74" s="76">
        <f t="shared" si="59"/>
        <v>-429174.97686902061</v>
      </c>
      <c r="AJ74" s="76">
        <f t="shared" si="59"/>
        <v>-421231.75403069705</v>
      </c>
      <c r="AK74" s="76">
        <f t="shared" si="59"/>
        <v>-413435.54532986507</v>
      </c>
      <c r="AL74" s="76">
        <f t="shared" si="59"/>
        <v>-405783.62981093302</v>
      </c>
      <c r="AM74" s="76">
        <f t="shared" si="59"/>
        <v>-398273.3368780911</v>
      </c>
      <c r="AN74" s="76">
        <f t="shared" si="59"/>
        <v>-390902.04536322504</v>
      </c>
      <c r="AO74" s="76">
        <f t="shared" si="59"/>
        <v>-383667.18261113763</v>
      </c>
      <c r="AP74" s="73"/>
    </row>
    <row r="75" spans="1:42" s="61" customFormat="1">
      <c r="A75" s="74" t="s">
        <v>203</v>
      </c>
      <c r="B75" s="74"/>
      <c r="C75" s="75"/>
      <c r="D75" s="75"/>
      <c r="E75" s="75"/>
      <c r="F75" s="75"/>
      <c r="G75" s="75"/>
      <c r="H75" s="75"/>
      <c r="I75" s="75"/>
      <c r="J75" s="75"/>
      <c r="K75" s="75"/>
      <c r="L75" s="75"/>
      <c r="M75" s="75"/>
      <c r="N75" s="75"/>
      <c r="O75" s="75"/>
      <c r="P75" s="75"/>
      <c r="Q75" s="75"/>
      <c r="R75" s="75"/>
      <c r="S75" s="75"/>
      <c r="T75" s="75"/>
      <c r="U75" s="75"/>
      <c r="V75" s="75">
        <f t="shared" ref="V75:AC75" si="60">SUM(V67:V74)</f>
        <v>0</v>
      </c>
      <c r="W75" s="75">
        <f t="shared" si="60"/>
        <v>-2364592.0392120872</v>
      </c>
      <c r="X75" s="75">
        <f t="shared" si="60"/>
        <v>-1059768.1939608846</v>
      </c>
      <c r="Y75" s="75">
        <f t="shared" si="60"/>
        <v>-1703840.7334034201</v>
      </c>
      <c r="Z75" s="75">
        <f t="shared" si="60"/>
        <v>-53601588.67530781</v>
      </c>
      <c r="AA75" s="75">
        <f t="shared" si="60"/>
        <v>457338.89449136984</v>
      </c>
      <c r="AB75" s="75">
        <f t="shared" si="60"/>
        <v>26145725.629912436</v>
      </c>
      <c r="AC75" s="75">
        <f t="shared" si="60"/>
        <v>6353569.2584259566</v>
      </c>
      <c r="AD75" s="101">
        <f t="shared" si="49"/>
        <v>-5952426.615653662</v>
      </c>
      <c r="AE75" s="101">
        <f t="shared" si="50"/>
        <v>-1381804.4636821523</v>
      </c>
      <c r="AF75" s="109">
        <f t="shared" si="51"/>
        <v>0</v>
      </c>
      <c r="AG75" s="109">
        <f t="shared" ref="AG75:AO75" si="61">AG63-AF63</f>
        <v>-1561850.8852984011</v>
      </c>
      <c r="AH75" s="109">
        <f t="shared" si="61"/>
        <v>-285134.83846852183</v>
      </c>
      <c r="AI75" s="109">
        <f t="shared" si="61"/>
        <v>-1480933.3784894943</v>
      </c>
      <c r="AJ75" s="109">
        <f t="shared" si="61"/>
        <v>-1403921.9899228513</v>
      </c>
      <c r="AK75" s="109">
        <f t="shared" si="61"/>
        <v>-1326353.3627101183</v>
      </c>
      <c r="AL75" s="109">
        <f t="shared" si="61"/>
        <v>-1248106.2353697419</v>
      </c>
      <c r="AM75" s="109">
        <f t="shared" si="61"/>
        <v>-1169055.0537583679</v>
      </c>
      <c r="AN75" s="109">
        <f t="shared" si="61"/>
        <v>-1089069.6720588654</v>
      </c>
      <c r="AO75" s="109">
        <f t="shared" si="61"/>
        <v>-1008015.0391313881</v>
      </c>
      <c r="AP75" s="97"/>
    </row>
    <row r="77" spans="1:42">
      <c r="A77" s="71">
        <v>7</v>
      </c>
      <c r="B77" s="71" t="s">
        <v>265</v>
      </c>
      <c r="C77" s="1910" t="s">
        <v>320</v>
      </c>
      <c r="D77" s="1910"/>
      <c r="E77" s="1910"/>
      <c r="F77" s="1910"/>
      <c r="G77" s="1910"/>
      <c r="H77" s="1910"/>
      <c r="I77" s="1910"/>
      <c r="J77" s="1910"/>
      <c r="K77" s="1910"/>
      <c r="L77" s="1910"/>
      <c r="M77" s="1910"/>
      <c r="N77" s="1910"/>
      <c r="O77" s="1910"/>
      <c r="P77" s="1910"/>
      <c r="Q77" s="1910"/>
      <c r="R77" s="1910"/>
      <c r="S77" s="1910"/>
      <c r="T77" s="1910"/>
      <c r="U77" s="1910"/>
      <c r="V77" s="1910"/>
      <c r="W77" s="1910"/>
      <c r="X77" s="1910"/>
      <c r="Y77" s="1910"/>
      <c r="Z77" s="1910"/>
      <c r="AA77" s="1910"/>
      <c r="AB77" s="1910"/>
      <c r="AC77" s="86"/>
      <c r="AD77" s="86"/>
      <c r="AE77" s="96"/>
      <c r="AF77" s="96"/>
      <c r="AG77" s="96"/>
      <c r="AH77" s="96"/>
      <c r="AI77" s="96"/>
      <c r="AJ77" s="96"/>
      <c r="AK77" s="96"/>
      <c r="AL77" s="96"/>
      <c r="AM77" s="96"/>
      <c r="AN77" s="96"/>
      <c r="AO77" s="96"/>
      <c r="AP77" s="96"/>
    </row>
    <row r="78" spans="1:42">
      <c r="A78" s="71" t="s">
        <v>265</v>
      </c>
      <c r="B78" s="71" t="s">
        <v>357</v>
      </c>
      <c r="C78" s="72" t="s">
        <v>284</v>
      </c>
      <c r="D78" s="72" t="s">
        <v>285</v>
      </c>
      <c r="E78" s="72" t="s">
        <v>286</v>
      </c>
      <c r="F78" s="72" t="s">
        <v>287</v>
      </c>
      <c r="G78" s="72" t="s">
        <v>288</v>
      </c>
      <c r="H78" s="72" t="s">
        <v>289</v>
      </c>
      <c r="I78" s="72" t="s">
        <v>290</v>
      </c>
      <c r="J78" s="72" t="s">
        <v>291</v>
      </c>
      <c r="K78" s="72" t="s">
        <v>292</v>
      </c>
      <c r="L78" s="72" t="s">
        <v>293</v>
      </c>
      <c r="M78" s="72" t="s">
        <v>294</v>
      </c>
      <c r="N78" s="72" t="s">
        <v>295</v>
      </c>
      <c r="O78" s="72" t="s">
        <v>296</v>
      </c>
      <c r="P78" s="72" t="s">
        <v>297</v>
      </c>
      <c r="Q78" s="72" t="s">
        <v>298</v>
      </c>
      <c r="R78" s="72" t="s">
        <v>299</v>
      </c>
      <c r="S78" s="72" t="s">
        <v>300</v>
      </c>
      <c r="T78" s="72" t="s">
        <v>301</v>
      </c>
      <c r="U78" s="72" t="s">
        <v>302</v>
      </c>
      <c r="V78" s="72" t="s">
        <v>303</v>
      </c>
      <c r="W78" s="72" t="s">
        <v>304</v>
      </c>
      <c r="X78" s="72" t="s">
        <v>305</v>
      </c>
      <c r="Y78" s="72" t="s">
        <v>306</v>
      </c>
      <c r="Z78" s="72" t="s">
        <v>307</v>
      </c>
      <c r="AA78" s="72" t="s">
        <v>308</v>
      </c>
      <c r="AB78" s="72" t="s">
        <v>309</v>
      </c>
      <c r="AC78" s="72" t="s">
        <v>340</v>
      </c>
      <c r="AD78" s="72" t="s">
        <v>153</v>
      </c>
      <c r="AE78" s="72" t="s">
        <v>356</v>
      </c>
      <c r="AF78" s="72" t="s">
        <v>341</v>
      </c>
      <c r="AG78" s="72" t="s">
        <v>342</v>
      </c>
      <c r="AH78" s="72" t="s">
        <v>343</v>
      </c>
      <c r="AI78" s="72" t="s">
        <v>344</v>
      </c>
      <c r="AJ78" s="72" t="s">
        <v>345</v>
      </c>
      <c r="AK78" s="72" t="s">
        <v>346</v>
      </c>
      <c r="AL78" s="72" t="s">
        <v>347</v>
      </c>
      <c r="AM78" s="72" t="s">
        <v>348</v>
      </c>
      <c r="AN78" s="72" t="s">
        <v>349</v>
      </c>
      <c r="AO78" s="72" t="s">
        <v>350</v>
      </c>
      <c r="AP78" s="72" t="s">
        <v>353</v>
      </c>
    </row>
    <row r="79" spans="1:42">
      <c r="A79" s="72" t="s">
        <v>315</v>
      </c>
      <c r="B79" s="102"/>
      <c r="C79" s="76"/>
      <c r="D79" s="77"/>
      <c r="E79" s="77"/>
      <c r="F79" s="77"/>
      <c r="G79" s="77"/>
      <c r="H79" s="77"/>
      <c r="I79" s="77"/>
      <c r="J79" s="77"/>
      <c r="K79" s="77"/>
      <c r="L79" s="77"/>
      <c r="M79" s="77"/>
      <c r="N79" s="77"/>
      <c r="O79" s="77"/>
      <c r="P79" s="77"/>
      <c r="Q79" s="77"/>
      <c r="R79" s="77"/>
      <c r="S79" s="77"/>
      <c r="T79" s="77"/>
      <c r="U79" s="77"/>
      <c r="V79" s="77" t="e">
        <f t="shared" ref="V79:AB87" si="62">V67/U55</f>
        <v>#DIV/0!</v>
      </c>
      <c r="W79" s="207">
        <f t="shared" si="62"/>
        <v>-1.6768629099828403E-2</v>
      </c>
      <c r="X79" s="276">
        <f t="shared" si="62"/>
        <v>-8.0771716052801621E-3</v>
      </c>
      <c r="Y79" s="276">
        <f t="shared" si="62"/>
        <v>-2.0194500023265553E-2</v>
      </c>
      <c r="Z79" s="276">
        <f t="shared" si="62"/>
        <v>-0.35560621171106993</v>
      </c>
      <c r="AA79" s="276">
        <f t="shared" si="62"/>
        <v>4.7755914216228164E-2</v>
      </c>
      <c r="AB79" s="276">
        <f t="shared" si="62"/>
        <v>0.27839909966940984</v>
      </c>
      <c r="AC79" s="207">
        <f t="shared" ref="AC79:AC86" si="63">AC67/AB55</f>
        <v>6.0878211361184979E-2</v>
      </c>
      <c r="AD79" s="98">
        <f>AVERAGE(W79:AB79)</f>
        <v>-1.2415249758967675E-2</v>
      </c>
      <c r="AE79" s="298">
        <f>AVERAGE(W79:Y79)</f>
        <v>-1.5013433576124705E-2</v>
      </c>
      <c r="AF79" s="105">
        <f t="shared" ref="AF79:AF87" si="64">AF67/AC55</f>
        <v>0</v>
      </c>
      <c r="AG79" s="105">
        <f>$AE$79</f>
        <v>-1.5013433576124705E-2</v>
      </c>
      <c r="AH79" s="105">
        <f t="shared" ref="AH79:AO79" si="65">$AE$79</f>
        <v>-1.5013433576124705E-2</v>
      </c>
      <c r="AI79" s="105">
        <f t="shared" si="65"/>
        <v>-1.5013433576124705E-2</v>
      </c>
      <c r="AJ79" s="105">
        <f t="shared" si="65"/>
        <v>-1.5013433576124705E-2</v>
      </c>
      <c r="AK79" s="105">
        <f t="shared" si="65"/>
        <v>-1.5013433576124705E-2</v>
      </c>
      <c r="AL79" s="105">
        <f t="shared" si="65"/>
        <v>-1.5013433576124705E-2</v>
      </c>
      <c r="AM79" s="105">
        <f t="shared" si="65"/>
        <v>-1.5013433576124705E-2</v>
      </c>
      <c r="AN79" s="105">
        <f t="shared" si="65"/>
        <v>-1.5013433576124705E-2</v>
      </c>
      <c r="AO79" s="105">
        <f t="shared" si="65"/>
        <v>-1.5013433576124705E-2</v>
      </c>
      <c r="AP79" s="71"/>
    </row>
    <row r="80" spans="1:42">
      <c r="A80" s="72" t="s">
        <v>310</v>
      </c>
      <c r="B80" s="103"/>
      <c r="C80" s="76"/>
      <c r="D80" s="77"/>
      <c r="E80" s="77"/>
      <c r="F80" s="77"/>
      <c r="G80" s="77"/>
      <c r="H80" s="77"/>
      <c r="I80" s="77"/>
      <c r="J80" s="77"/>
      <c r="K80" s="77"/>
      <c r="L80" s="77"/>
      <c r="M80" s="77"/>
      <c r="N80" s="77"/>
      <c r="O80" s="77"/>
      <c r="P80" s="77"/>
      <c r="Q80" s="77"/>
      <c r="R80" s="77"/>
      <c r="S80" s="77"/>
      <c r="T80" s="77"/>
      <c r="U80" s="77"/>
      <c r="V80" s="77" t="e">
        <f t="shared" si="62"/>
        <v>#DIV/0!</v>
      </c>
      <c r="W80" s="207">
        <f t="shared" si="62"/>
        <v>4.2611237414745012E-2</v>
      </c>
      <c r="X80" s="207">
        <f t="shared" si="62"/>
        <v>0.11251635412123856</v>
      </c>
      <c r="Y80" s="207">
        <f t="shared" si="62"/>
        <v>9.4080752646020956E-3</v>
      </c>
      <c r="Z80" s="207">
        <f t="shared" si="62"/>
        <v>-0.36726768377253804</v>
      </c>
      <c r="AA80" s="207">
        <f t="shared" si="62"/>
        <v>0.12590968873301175</v>
      </c>
      <c r="AB80" s="207">
        <f t="shared" si="62"/>
        <v>0.10170547465150692</v>
      </c>
      <c r="AC80" s="207">
        <f t="shared" si="63"/>
        <v>6.0878211361184938E-2</v>
      </c>
      <c r="AD80" s="98">
        <f>AVERAGE(X80:AB80)</f>
        <v>-3.5456182004357461E-3</v>
      </c>
      <c r="AE80" s="98">
        <f>AVERAGE(W80:Y80)</f>
        <v>5.4845222266861893E-2</v>
      </c>
      <c r="AF80" s="105">
        <f>AF68/AC56</f>
        <v>0</v>
      </c>
      <c r="AG80" s="105">
        <f>AG68/AF56</f>
        <v>5.4845222266861886E-2</v>
      </c>
      <c r="AH80" s="105">
        <f t="shared" ref="AH80:AO80" si="66">AG80</f>
        <v>5.4845222266861886E-2</v>
      </c>
      <c r="AI80" s="105">
        <f t="shared" si="66"/>
        <v>5.4845222266861886E-2</v>
      </c>
      <c r="AJ80" s="105">
        <f t="shared" si="66"/>
        <v>5.4845222266861886E-2</v>
      </c>
      <c r="AK80" s="105">
        <f t="shared" si="66"/>
        <v>5.4845222266861886E-2</v>
      </c>
      <c r="AL80" s="105">
        <f t="shared" si="66"/>
        <v>5.4845222266861886E-2</v>
      </c>
      <c r="AM80" s="105">
        <f t="shared" si="66"/>
        <v>5.4845222266861886E-2</v>
      </c>
      <c r="AN80" s="105">
        <f t="shared" si="66"/>
        <v>5.4845222266861886E-2</v>
      </c>
      <c r="AO80" s="105">
        <f t="shared" si="66"/>
        <v>5.4845222266861886E-2</v>
      </c>
      <c r="AP80" s="71"/>
    </row>
    <row r="81" spans="1:42">
      <c r="A81" s="72" t="s">
        <v>317</v>
      </c>
      <c r="B81" s="103"/>
      <c r="C81" s="76"/>
      <c r="D81" s="77"/>
      <c r="E81" s="77"/>
      <c r="F81" s="77"/>
      <c r="G81" s="77"/>
      <c r="H81" s="77"/>
      <c r="I81" s="77"/>
      <c r="J81" s="77"/>
      <c r="K81" s="77"/>
      <c r="L81" s="77"/>
      <c r="M81" s="77"/>
      <c r="N81" s="77"/>
      <c r="O81" s="77"/>
      <c r="P81" s="77"/>
      <c r="Q81" s="77"/>
      <c r="R81" s="77"/>
      <c r="S81" s="77"/>
      <c r="T81" s="77"/>
      <c r="U81" s="77"/>
      <c r="V81" s="77" t="e">
        <f t="shared" si="62"/>
        <v>#DIV/0!</v>
      </c>
      <c r="W81" s="207">
        <f t="shared" si="62"/>
        <v>-2.8674274962163106E-2</v>
      </c>
      <c r="X81" s="207">
        <f t="shared" si="62"/>
        <v>1.8487324180914748E-2</v>
      </c>
      <c r="Y81" s="207">
        <f t="shared" si="62"/>
        <v>1.1949555509613418E-2</v>
      </c>
      <c r="Z81" s="207">
        <f>Z69/Y57</f>
        <v>-0.38424450437198665</v>
      </c>
      <c r="AA81" s="207">
        <f t="shared" si="62"/>
        <v>-8.1619110816191012E-2</v>
      </c>
      <c r="AB81" s="207">
        <f t="shared" si="62"/>
        <v>0.40563583815028892</v>
      </c>
      <c r="AC81" s="207">
        <f t="shared" si="63"/>
        <v>6.087821136118509E-2</v>
      </c>
      <c r="AD81" s="98">
        <f t="shared" ref="AD81:AD87" si="67">AVERAGE(W81:AB81)</f>
        <v>-9.7441953849206151E-3</v>
      </c>
      <c r="AE81" s="98">
        <f t="shared" ref="AE81:AE86" si="68">AVERAGE(W81:Y81)</f>
        <v>5.875349094550201E-4</v>
      </c>
      <c r="AF81" s="105">
        <f t="shared" si="64"/>
        <v>0</v>
      </c>
      <c r="AG81" s="105">
        <f t="shared" ref="AG81:AG87" si="69">AE81</f>
        <v>5.875349094550201E-4</v>
      </c>
      <c r="AH81" s="105">
        <f t="shared" ref="AH81:AO81" si="70">AG81</f>
        <v>5.875349094550201E-4</v>
      </c>
      <c r="AI81" s="105">
        <f t="shared" si="70"/>
        <v>5.875349094550201E-4</v>
      </c>
      <c r="AJ81" s="105">
        <f t="shared" si="70"/>
        <v>5.875349094550201E-4</v>
      </c>
      <c r="AK81" s="105">
        <f t="shared" si="70"/>
        <v>5.875349094550201E-4</v>
      </c>
      <c r="AL81" s="105">
        <f t="shared" si="70"/>
        <v>5.875349094550201E-4</v>
      </c>
      <c r="AM81" s="105">
        <f t="shared" si="70"/>
        <v>5.875349094550201E-4</v>
      </c>
      <c r="AN81" s="105">
        <f t="shared" si="70"/>
        <v>5.875349094550201E-4</v>
      </c>
      <c r="AO81" s="105">
        <f t="shared" si="70"/>
        <v>5.875349094550201E-4</v>
      </c>
      <c r="AP81" s="71"/>
    </row>
    <row r="82" spans="1:42">
      <c r="A82" s="72" t="s">
        <v>313</v>
      </c>
      <c r="B82" s="103"/>
      <c r="C82" s="76"/>
      <c r="D82" s="77"/>
      <c r="E82" s="77"/>
      <c r="F82" s="77"/>
      <c r="G82" s="77"/>
      <c r="H82" s="77"/>
      <c r="I82" s="77"/>
      <c r="J82" s="77"/>
      <c r="K82" s="77"/>
      <c r="L82" s="77"/>
      <c r="M82" s="77"/>
      <c r="N82" s="77"/>
      <c r="O82" s="77"/>
      <c r="P82" s="77"/>
      <c r="Q82" s="77"/>
      <c r="R82" s="77"/>
      <c r="S82" s="77"/>
      <c r="T82" s="77"/>
      <c r="U82" s="77"/>
      <c r="V82" s="77" t="e">
        <f t="shared" si="62"/>
        <v>#DIV/0!</v>
      </c>
      <c r="W82" s="207">
        <v>-3.1E-2</v>
      </c>
      <c r="X82" s="276">
        <f t="shared" si="62"/>
        <v>-3.4149723729400436E-2</v>
      </c>
      <c r="Y82" s="276">
        <f t="shared" si="62"/>
        <v>-2.7841078598846884E-2</v>
      </c>
      <c r="Z82" s="276">
        <f t="shared" si="62"/>
        <v>-0.34916866241409839</v>
      </c>
      <c r="AA82" s="276">
        <f t="shared" si="62"/>
        <v>-4.0972609513441151E-2</v>
      </c>
      <c r="AB82" s="276">
        <f t="shared" si="62"/>
        <v>0.26205489634506318</v>
      </c>
      <c r="AC82" s="276">
        <f t="shared" si="63"/>
        <v>4.5072541912535895E-2</v>
      </c>
      <c r="AD82" s="98">
        <f>AVERAGE(W82:AC82)</f>
        <v>-2.5143519428312538E-2</v>
      </c>
      <c r="AE82" s="298">
        <f t="shared" si="68"/>
        <v>-3.0996934109415772E-2</v>
      </c>
      <c r="AF82" s="105">
        <f t="shared" si="64"/>
        <v>0</v>
      </c>
      <c r="AG82" s="105">
        <f t="shared" si="69"/>
        <v>-3.0996934109415772E-2</v>
      </c>
      <c r="AH82" s="105">
        <f t="shared" ref="AH82:AO82" si="71">AG82</f>
        <v>-3.0996934109415772E-2</v>
      </c>
      <c r="AI82" s="105">
        <f t="shared" si="71"/>
        <v>-3.0996934109415772E-2</v>
      </c>
      <c r="AJ82" s="105">
        <f t="shared" si="71"/>
        <v>-3.0996934109415772E-2</v>
      </c>
      <c r="AK82" s="105">
        <f t="shared" si="71"/>
        <v>-3.0996934109415772E-2</v>
      </c>
      <c r="AL82" s="105">
        <f t="shared" si="71"/>
        <v>-3.0996934109415772E-2</v>
      </c>
      <c r="AM82" s="105">
        <f t="shared" si="71"/>
        <v>-3.0996934109415772E-2</v>
      </c>
      <c r="AN82" s="105">
        <f t="shared" si="71"/>
        <v>-3.0996934109415772E-2</v>
      </c>
      <c r="AO82" s="105">
        <f t="shared" si="71"/>
        <v>-3.0996934109415772E-2</v>
      </c>
      <c r="AP82" s="71"/>
    </row>
    <row r="83" spans="1:42">
      <c r="A83" s="72" t="s">
        <v>316</v>
      </c>
      <c r="B83" s="103"/>
      <c r="C83" s="76"/>
      <c r="D83" s="77"/>
      <c r="E83" s="77"/>
      <c r="F83" s="77"/>
      <c r="G83" s="77"/>
      <c r="H83" s="77"/>
      <c r="I83" s="77"/>
      <c r="J83" s="77"/>
      <c r="K83" s="77"/>
      <c r="L83" s="77"/>
      <c r="M83" s="77"/>
      <c r="N83" s="77"/>
      <c r="O83" s="77"/>
      <c r="P83" s="77"/>
      <c r="Q83" s="77"/>
      <c r="R83" s="77"/>
      <c r="S83" s="77"/>
      <c r="T83" s="77"/>
      <c r="U83" s="77"/>
      <c r="V83" s="77" t="e">
        <f t="shared" si="62"/>
        <v>#DIV/0!</v>
      </c>
      <c r="W83" s="207">
        <f t="shared" si="62"/>
        <v>-3.5748088824171652E-2</v>
      </c>
      <c r="X83" s="207">
        <f t="shared" si="62"/>
        <v>-2.6238296587133905E-2</v>
      </c>
      <c r="Y83" s="207">
        <f t="shared" si="62"/>
        <v>-1.3336951886170673E-2</v>
      </c>
      <c r="Z83" s="207">
        <f t="shared" si="62"/>
        <v>-0.37592832724272068</v>
      </c>
      <c r="AA83" s="207">
        <f t="shared" si="62"/>
        <v>5.9375393527263405E-2</v>
      </c>
      <c r="AB83" s="207">
        <f t="shared" si="62"/>
        <v>0.28172362555720659</v>
      </c>
      <c r="AC83" s="207">
        <f t="shared" si="63"/>
        <v>6.0878211361185056E-2</v>
      </c>
      <c r="AD83" s="98">
        <f t="shared" si="67"/>
        <v>-1.8358774242621157E-2</v>
      </c>
      <c r="AE83" s="98">
        <f t="shared" si="68"/>
        <v>-2.5107779099158744E-2</v>
      </c>
      <c r="AF83" s="105">
        <f t="shared" si="64"/>
        <v>0</v>
      </c>
      <c r="AG83" s="105">
        <f t="shared" si="69"/>
        <v>-2.5107779099158744E-2</v>
      </c>
      <c r="AH83" s="105">
        <f t="shared" ref="AH83:AO83" si="72">AG83</f>
        <v>-2.5107779099158744E-2</v>
      </c>
      <c r="AI83" s="105">
        <f t="shared" si="72"/>
        <v>-2.5107779099158744E-2</v>
      </c>
      <c r="AJ83" s="105">
        <f t="shared" si="72"/>
        <v>-2.5107779099158744E-2</v>
      </c>
      <c r="AK83" s="105">
        <f t="shared" si="72"/>
        <v>-2.5107779099158744E-2</v>
      </c>
      <c r="AL83" s="105">
        <f t="shared" si="72"/>
        <v>-2.5107779099158744E-2</v>
      </c>
      <c r="AM83" s="105">
        <f t="shared" si="72"/>
        <v>-2.5107779099158744E-2</v>
      </c>
      <c r="AN83" s="105">
        <f t="shared" si="72"/>
        <v>-2.5107779099158744E-2</v>
      </c>
      <c r="AO83" s="105">
        <f t="shared" si="72"/>
        <v>-2.5107779099158744E-2</v>
      </c>
      <c r="AP83" s="71"/>
    </row>
    <row r="84" spans="1:42">
      <c r="A84" s="72" t="s">
        <v>312</v>
      </c>
      <c r="B84" s="103"/>
      <c r="C84" s="76"/>
      <c r="D84" s="77"/>
      <c r="E84" s="77"/>
      <c r="F84" s="77"/>
      <c r="G84" s="77"/>
      <c r="H84" s="77"/>
      <c r="I84" s="77"/>
      <c r="J84" s="77"/>
      <c r="K84" s="77"/>
      <c r="L84" s="77"/>
      <c r="M84" s="77"/>
      <c r="N84" s="77"/>
      <c r="O84" s="77"/>
      <c r="P84" s="77"/>
      <c r="Q84" s="77"/>
      <c r="R84" s="77"/>
      <c r="S84" s="77"/>
      <c r="T84" s="77"/>
      <c r="U84" s="77"/>
      <c r="V84" s="77" t="e">
        <f t="shared" si="62"/>
        <v>#DIV/0!</v>
      </c>
      <c r="W84" s="207">
        <f t="shared" si="62"/>
        <v>-3.6064312203789556E-2</v>
      </c>
      <c r="X84" s="276">
        <f t="shared" si="62"/>
        <v>-2.3101215742743153E-2</v>
      </c>
      <c r="Y84" s="276">
        <f t="shared" si="62"/>
        <v>-1.575941838227719E-2</v>
      </c>
      <c r="Z84" s="276">
        <f t="shared" si="62"/>
        <v>-0.35395424824918581</v>
      </c>
      <c r="AA84" s="276">
        <f t="shared" si="62"/>
        <v>-2.483227314570827E-3</v>
      </c>
      <c r="AB84" s="276">
        <f t="shared" si="62"/>
        <v>0.25804048734637292</v>
      </c>
      <c r="AC84" s="207">
        <f t="shared" si="63"/>
        <v>0</v>
      </c>
      <c r="AD84" s="98">
        <f t="shared" si="67"/>
        <v>-2.8886989091032277E-2</v>
      </c>
      <c r="AE84" s="298">
        <f t="shared" si="68"/>
        <v>-2.4974982109603302E-2</v>
      </c>
      <c r="AF84" s="105">
        <f t="shared" si="64"/>
        <v>0</v>
      </c>
      <c r="AG84" s="105">
        <f>$AE$84</f>
        <v>-2.4974982109603302E-2</v>
      </c>
      <c r="AH84" s="105">
        <f t="shared" ref="AH84:AO85" si="73">AG84</f>
        <v>-2.4974982109603302E-2</v>
      </c>
      <c r="AI84" s="105">
        <f t="shared" si="73"/>
        <v>-2.4974982109603302E-2</v>
      </c>
      <c r="AJ84" s="105">
        <f t="shared" si="73"/>
        <v>-2.4974982109603302E-2</v>
      </c>
      <c r="AK84" s="105">
        <f t="shared" si="73"/>
        <v>-2.4974982109603302E-2</v>
      </c>
      <c r="AL84" s="105">
        <f t="shared" si="73"/>
        <v>-2.4974982109603302E-2</v>
      </c>
      <c r="AM84" s="105">
        <f t="shared" si="73"/>
        <v>-2.4974982109603302E-2</v>
      </c>
      <c r="AN84" s="105">
        <f t="shared" si="73"/>
        <v>-2.4974982109603302E-2</v>
      </c>
      <c r="AO84" s="105">
        <f t="shared" si="73"/>
        <v>-2.4974982109603302E-2</v>
      </c>
      <c r="AP84" s="71"/>
    </row>
    <row r="85" spans="1:42">
      <c r="A85" s="72" t="s">
        <v>311</v>
      </c>
      <c r="B85" s="103"/>
      <c r="C85" s="76"/>
      <c r="D85" s="77"/>
      <c r="E85" s="77"/>
      <c r="F85" s="77"/>
      <c r="G85" s="77"/>
      <c r="H85" s="77"/>
      <c r="I85" s="77"/>
      <c r="J85" s="77"/>
      <c r="K85" s="77"/>
      <c r="L85" s="77"/>
      <c r="M85" s="77"/>
      <c r="N85" s="77"/>
      <c r="O85" s="77"/>
      <c r="P85" s="77"/>
      <c r="Q85" s="77"/>
      <c r="R85" s="77"/>
      <c r="S85" s="77"/>
      <c r="T85" s="77"/>
      <c r="U85" s="77"/>
      <c r="V85" s="77" t="e">
        <f t="shared" si="62"/>
        <v>#DIV/0!</v>
      </c>
      <c r="W85" s="207">
        <f t="shared" si="62"/>
        <v>1.952870737032434E-2</v>
      </c>
      <c r="X85" s="276">
        <f t="shared" si="62"/>
        <v>-3.0560598207245205E-2</v>
      </c>
      <c r="Y85" s="276">
        <f t="shared" si="62"/>
        <v>-1.8254125318041173E-2</v>
      </c>
      <c r="Z85" s="276">
        <f t="shared" si="62"/>
        <v>-0.40326986131603615</v>
      </c>
      <c r="AA85" s="276">
        <f t="shared" si="62"/>
        <v>2.4436928461626966E-2</v>
      </c>
      <c r="AB85" s="276">
        <f t="shared" si="62"/>
        <v>0.3213022347756247</v>
      </c>
      <c r="AC85" s="276">
        <f t="shared" si="63"/>
        <v>5.9282132757811634E-2</v>
      </c>
      <c r="AD85" s="98">
        <f>AVERAGE(W85:AC85)</f>
        <v>-3.9335116394192638E-3</v>
      </c>
      <c r="AE85" s="298">
        <f t="shared" si="68"/>
        <v>-9.7620053849873465E-3</v>
      </c>
      <c r="AF85" s="105">
        <f t="shared" si="64"/>
        <v>0</v>
      </c>
      <c r="AG85" s="105">
        <f>$AE$85</f>
        <v>-9.7620053849873465E-3</v>
      </c>
      <c r="AH85" s="105">
        <f t="shared" si="73"/>
        <v>-9.7620053849873465E-3</v>
      </c>
      <c r="AI85" s="105">
        <f t="shared" ref="AI85" si="74">AH85</f>
        <v>-9.7620053849873465E-3</v>
      </c>
      <c r="AJ85" s="105">
        <f t="shared" ref="AJ85" si="75">AI85</f>
        <v>-9.7620053849873465E-3</v>
      </c>
      <c r="AK85" s="105">
        <f t="shared" ref="AK85" si="76">AJ85</f>
        <v>-9.7620053849873465E-3</v>
      </c>
      <c r="AL85" s="105">
        <f t="shared" ref="AL85" si="77">AK85</f>
        <v>-9.7620053849873465E-3</v>
      </c>
      <c r="AM85" s="105">
        <f t="shared" ref="AM85" si="78">AL85</f>
        <v>-9.7620053849873465E-3</v>
      </c>
      <c r="AN85" s="105">
        <f t="shared" ref="AN85" si="79">AM85</f>
        <v>-9.7620053849873465E-3</v>
      </c>
      <c r="AO85" s="105">
        <f t="shared" ref="AO85" si="80">AN85</f>
        <v>-9.7620053849873465E-3</v>
      </c>
      <c r="AP85" s="71"/>
    </row>
    <row r="86" spans="1:42">
      <c r="A86" s="311" t="s">
        <v>314</v>
      </c>
      <c r="B86" s="103"/>
      <c r="C86" s="312"/>
      <c r="D86" s="313"/>
      <c r="E86" s="313"/>
      <c r="F86" s="313"/>
      <c r="G86" s="313"/>
      <c r="H86" s="313"/>
      <c r="I86" s="313"/>
      <c r="J86" s="313"/>
      <c r="K86" s="313"/>
      <c r="L86" s="313"/>
      <c r="M86" s="313"/>
      <c r="N86" s="313"/>
      <c r="O86" s="313"/>
      <c r="P86" s="313"/>
      <c r="Q86" s="313"/>
      <c r="R86" s="313"/>
      <c r="S86" s="313"/>
      <c r="T86" s="313"/>
      <c r="U86" s="313"/>
      <c r="V86" s="313" t="e">
        <f t="shared" si="62"/>
        <v>#DIV/0!</v>
      </c>
      <c r="W86" s="314">
        <f t="shared" si="62"/>
        <v>-3.8870917249295631E-2</v>
      </c>
      <c r="X86" s="314">
        <f t="shared" si="62"/>
        <v>-8.7943108408881539E-3</v>
      </c>
      <c r="Y86" s="314">
        <f t="shared" si="62"/>
        <v>-7.8591379593625724E-3</v>
      </c>
      <c r="Z86" s="315">
        <f t="shared" si="62"/>
        <v>-0.36145786594797558</v>
      </c>
      <c r="AA86" s="315">
        <f t="shared" si="62"/>
        <v>-3.7820755336818564E-2</v>
      </c>
      <c r="AB86" s="315">
        <f t="shared" si="62"/>
        <v>0.31589431826664938</v>
      </c>
      <c r="AC86" s="315">
        <f t="shared" si="63"/>
        <v>7.8279959413207575E-2</v>
      </c>
      <c r="AD86" s="289">
        <f>AVERAGE(W86:AC86)</f>
        <v>-8.6612442363547919E-3</v>
      </c>
      <c r="AE86" s="317">
        <f t="shared" si="68"/>
        <v>-1.8508122016515451E-2</v>
      </c>
      <c r="AF86" s="290">
        <f t="shared" si="64"/>
        <v>0</v>
      </c>
      <c r="AG86" s="290">
        <f t="shared" si="69"/>
        <v>-1.8508122016515451E-2</v>
      </c>
      <c r="AH86" s="290">
        <f t="shared" ref="AH86:AO86" si="81">AG86</f>
        <v>-1.8508122016515451E-2</v>
      </c>
      <c r="AI86" s="290">
        <f t="shared" si="81"/>
        <v>-1.8508122016515451E-2</v>
      </c>
      <c r="AJ86" s="290">
        <f t="shared" si="81"/>
        <v>-1.8508122016515451E-2</v>
      </c>
      <c r="AK86" s="290">
        <f t="shared" si="81"/>
        <v>-1.8508122016515451E-2</v>
      </c>
      <c r="AL86" s="290">
        <f t="shared" si="81"/>
        <v>-1.8508122016515451E-2</v>
      </c>
      <c r="AM86" s="290">
        <f t="shared" si="81"/>
        <v>-1.8508122016515451E-2</v>
      </c>
      <c r="AN86" s="290">
        <f t="shared" si="81"/>
        <v>-1.8508122016515451E-2</v>
      </c>
      <c r="AO86" s="290">
        <f t="shared" si="81"/>
        <v>-1.8508122016515451E-2</v>
      </c>
      <c r="AP86" s="92"/>
    </row>
    <row r="87" spans="1:42" s="97" customFormat="1">
      <c r="A87" s="74" t="s">
        <v>752</v>
      </c>
      <c r="B87" s="72" t="s">
        <v>756</v>
      </c>
      <c r="C87" s="75"/>
      <c r="D87" s="78"/>
      <c r="E87" s="78"/>
      <c r="F87" s="78"/>
      <c r="G87" s="78"/>
      <c r="H87" s="78"/>
      <c r="I87" s="78"/>
      <c r="J87" s="78"/>
      <c r="K87" s="78"/>
      <c r="L87" s="78"/>
      <c r="M87" s="78"/>
      <c r="N87" s="78"/>
      <c r="O87" s="78"/>
      <c r="P87" s="78"/>
      <c r="Q87" s="78"/>
      <c r="R87" s="78"/>
      <c r="S87" s="78"/>
      <c r="T87" s="78"/>
      <c r="U87" s="78"/>
      <c r="V87" s="78" t="e">
        <f t="shared" si="62"/>
        <v>#DIV/0!</v>
      </c>
      <c r="W87" s="78">
        <f t="shared" si="62"/>
        <v>-1.5642486505504438E-2</v>
      </c>
      <c r="X87" s="78">
        <f t="shared" si="62"/>
        <v>-7.1220921167301733E-3</v>
      </c>
      <c r="Y87" s="78">
        <f t="shared" si="62"/>
        <v>-1.1532669715529967E-2</v>
      </c>
      <c r="Z87" s="78">
        <f t="shared" si="62"/>
        <v>-0.3670423691645277</v>
      </c>
      <c r="AA87" s="78">
        <f t="shared" si="62"/>
        <v>4.9476849243060067E-3</v>
      </c>
      <c r="AB87" s="78">
        <f t="shared" si="62"/>
        <v>0.2814628903229543</v>
      </c>
      <c r="AC87" s="291">
        <f>AVERAGE(AC82,AC85,AC86)</f>
        <v>6.0878211361185042E-2</v>
      </c>
      <c r="AD87" s="98">
        <f t="shared" si="67"/>
        <v>-1.9154840375838662E-2</v>
      </c>
      <c r="AE87" s="318">
        <f>AVERAGE(,AE79,AE82,AE84,AE85,AE86)</f>
        <v>-1.6542579532774427E-2</v>
      </c>
      <c r="AF87" s="105">
        <f t="shared" si="64"/>
        <v>0</v>
      </c>
      <c r="AG87" s="105">
        <f t="shared" si="69"/>
        <v>-1.6542579532774427E-2</v>
      </c>
      <c r="AH87" s="105">
        <f t="shared" ref="AH87:AO87" si="82">AG87</f>
        <v>-1.6542579532774427E-2</v>
      </c>
      <c r="AI87" s="105">
        <f t="shared" si="82"/>
        <v>-1.6542579532774427E-2</v>
      </c>
      <c r="AJ87" s="105">
        <f t="shared" si="82"/>
        <v>-1.6542579532774427E-2</v>
      </c>
      <c r="AK87" s="105">
        <f t="shared" si="82"/>
        <v>-1.6542579532774427E-2</v>
      </c>
      <c r="AL87" s="105">
        <f t="shared" si="82"/>
        <v>-1.6542579532774427E-2</v>
      </c>
      <c r="AM87" s="105">
        <f t="shared" si="82"/>
        <v>-1.6542579532774427E-2</v>
      </c>
      <c r="AN87" s="105">
        <f t="shared" si="82"/>
        <v>-1.6542579532774427E-2</v>
      </c>
      <c r="AO87" s="105">
        <f t="shared" si="82"/>
        <v>-1.6542579532774427E-2</v>
      </c>
      <c r="AP87" s="106"/>
    </row>
    <row r="89" spans="1:42">
      <c r="A89" s="71">
        <v>8</v>
      </c>
      <c r="B89" s="71" t="s">
        <v>265</v>
      </c>
      <c r="C89" s="1910" t="s">
        <v>493</v>
      </c>
      <c r="D89" s="1910"/>
      <c r="E89" s="1910"/>
      <c r="F89" s="1910"/>
      <c r="G89" s="1910"/>
      <c r="H89" s="1910"/>
      <c r="I89" s="1910"/>
      <c r="J89" s="1910"/>
      <c r="K89" s="1910"/>
      <c r="L89" s="1910"/>
      <c r="M89" s="1910"/>
      <c r="N89" s="1910"/>
      <c r="O89" s="1910"/>
      <c r="P89" s="1910"/>
      <c r="Q89" s="1910"/>
      <c r="R89" s="1910"/>
      <c r="S89" s="1910"/>
      <c r="T89" s="1910"/>
      <c r="U89" s="1910"/>
      <c r="V89" s="1910"/>
      <c r="W89" s="1910"/>
      <c r="X89" s="1910"/>
      <c r="Y89" s="1910"/>
      <c r="Z89" s="1910"/>
      <c r="AA89" s="1910"/>
      <c r="AB89" s="1910"/>
      <c r="AC89" s="86"/>
      <c r="AD89" s="86"/>
      <c r="AE89" s="96"/>
      <c r="AF89" s="96"/>
      <c r="AG89" s="96"/>
      <c r="AH89" s="96"/>
      <c r="AI89" s="96"/>
      <c r="AJ89" s="96"/>
      <c r="AK89" s="96"/>
      <c r="AL89" s="96"/>
      <c r="AM89" s="96"/>
      <c r="AN89" s="96"/>
      <c r="AO89" s="96"/>
      <c r="AP89" s="96"/>
    </row>
    <row r="90" spans="1:42">
      <c r="A90" s="71" t="s">
        <v>265</v>
      </c>
      <c r="B90" s="71" t="s">
        <v>357</v>
      </c>
      <c r="C90" s="72" t="s">
        <v>284</v>
      </c>
      <c r="D90" s="72" t="s">
        <v>285</v>
      </c>
      <c r="E90" s="72" t="s">
        <v>286</v>
      </c>
      <c r="F90" s="72" t="s">
        <v>287</v>
      </c>
      <c r="G90" s="72" t="s">
        <v>288</v>
      </c>
      <c r="H90" s="72" t="s">
        <v>289</v>
      </c>
      <c r="I90" s="72" t="s">
        <v>290</v>
      </c>
      <c r="J90" s="72" t="s">
        <v>291</v>
      </c>
      <c r="K90" s="72" t="s">
        <v>292</v>
      </c>
      <c r="L90" s="72" t="s">
        <v>293</v>
      </c>
      <c r="M90" s="72" t="s">
        <v>294</v>
      </c>
      <c r="N90" s="72" t="s">
        <v>295</v>
      </c>
      <c r="O90" s="72" t="s">
        <v>296</v>
      </c>
      <c r="P90" s="72" t="s">
        <v>297</v>
      </c>
      <c r="Q90" s="72" t="s">
        <v>298</v>
      </c>
      <c r="R90" s="72" t="s">
        <v>299</v>
      </c>
      <c r="S90" s="72" t="s">
        <v>300</v>
      </c>
      <c r="T90" s="72" t="s">
        <v>301</v>
      </c>
      <c r="U90" s="72" t="s">
        <v>302</v>
      </c>
      <c r="V90" s="72" t="s">
        <v>303</v>
      </c>
      <c r="W90" s="72" t="s">
        <v>304</v>
      </c>
      <c r="X90" s="72" t="s">
        <v>305</v>
      </c>
      <c r="Y90" s="72" t="s">
        <v>306</v>
      </c>
      <c r="Z90" s="72" t="s">
        <v>307</v>
      </c>
      <c r="AA90" s="72" t="s">
        <v>308</v>
      </c>
      <c r="AB90" s="72" t="s">
        <v>309</v>
      </c>
      <c r="AC90" s="72" t="s">
        <v>340</v>
      </c>
      <c r="AD90" s="72" t="s">
        <v>153</v>
      </c>
      <c r="AE90" s="72" t="s">
        <v>356</v>
      </c>
      <c r="AF90" s="72" t="s">
        <v>341</v>
      </c>
      <c r="AG90" s="72" t="s">
        <v>342</v>
      </c>
      <c r="AH90" s="72" t="s">
        <v>343</v>
      </c>
      <c r="AI90" s="72" t="s">
        <v>344</v>
      </c>
      <c r="AJ90" s="72" t="s">
        <v>345</v>
      </c>
      <c r="AK90" s="72" t="s">
        <v>346</v>
      </c>
      <c r="AL90" s="72" t="s">
        <v>347</v>
      </c>
      <c r="AM90" s="72" t="s">
        <v>348</v>
      </c>
      <c r="AN90" s="72" t="s">
        <v>349</v>
      </c>
      <c r="AO90" s="72" t="s">
        <v>350</v>
      </c>
      <c r="AP90" s="72" t="s">
        <v>353</v>
      </c>
    </row>
    <row r="91" spans="1:42">
      <c r="A91" s="72" t="s">
        <v>315</v>
      </c>
      <c r="B91" s="102"/>
      <c r="C91" s="76"/>
      <c r="D91" s="77"/>
      <c r="E91" s="77"/>
      <c r="F91" s="77"/>
      <c r="G91" s="77"/>
      <c r="H91" s="77"/>
      <c r="I91" s="77"/>
      <c r="J91" s="77"/>
      <c r="K91" s="77"/>
      <c r="L91" s="77"/>
      <c r="M91" s="77"/>
      <c r="N91" s="77"/>
      <c r="O91" s="77"/>
      <c r="P91" s="77"/>
      <c r="Q91" s="77"/>
      <c r="R91" s="77"/>
      <c r="S91" s="77"/>
      <c r="T91" s="77"/>
      <c r="U91" s="77"/>
      <c r="V91" s="207">
        <f>AE91</f>
        <v>0.62187461799289478</v>
      </c>
      <c r="W91" s="276">
        <f t="shared" ref="W91:AB91" si="83">W55/W19</f>
        <v>0.62167513127313423</v>
      </c>
      <c r="X91" s="276">
        <f t="shared" si="83"/>
        <v>0.62299976808905377</v>
      </c>
      <c r="Y91" s="276">
        <f t="shared" si="83"/>
        <v>0.62094895461649613</v>
      </c>
      <c r="Z91" s="276">
        <f t="shared" si="83"/>
        <v>0.62243119266055047</v>
      </c>
      <c r="AA91" s="276">
        <f t="shared" si="83"/>
        <v>0.66018110053401435</v>
      </c>
      <c r="AB91" s="276">
        <f t="shared" si="83"/>
        <v>0.6620164639032563</v>
      </c>
      <c r="AC91" s="207">
        <f>AD91</f>
        <v>0.63504210184608423</v>
      </c>
      <c r="AD91" s="298">
        <f t="shared" ref="AD91:AD98" si="84">AVERAGE(W91:AB91)</f>
        <v>0.63504210184608423</v>
      </c>
      <c r="AE91" s="298">
        <f t="shared" ref="AE91:AE97" si="85">AVERAGE(W91:Y91)</f>
        <v>0.62187461799289478</v>
      </c>
      <c r="AF91" s="105"/>
      <c r="AG91" s="105"/>
      <c r="AH91" s="105"/>
      <c r="AI91" s="105"/>
      <c r="AJ91" s="105"/>
      <c r="AK91" s="105"/>
      <c r="AL91" s="105"/>
      <c r="AM91" s="105"/>
      <c r="AN91" s="105"/>
      <c r="AO91" s="105"/>
      <c r="AP91" s="71"/>
    </row>
    <row r="92" spans="1:42">
      <c r="A92" s="72" t="s">
        <v>310</v>
      </c>
      <c r="B92" s="103"/>
      <c r="C92" s="76"/>
      <c r="D92" s="77"/>
      <c r="E92" s="77"/>
      <c r="F92" s="77"/>
      <c r="G92" s="77"/>
      <c r="H92" s="77"/>
      <c r="I92" s="77"/>
      <c r="J92" s="77"/>
      <c r="K92" s="77"/>
      <c r="L92" s="77"/>
      <c r="M92" s="77"/>
      <c r="N92" s="77"/>
      <c r="O92" s="77"/>
      <c r="P92" s="77"/>
      <c r="Q92" s="77"/>
      <c r="R92" s="77"/>
      <c r="S92" s="77"/>
      <c r="T92" s="77"/>
      <c r="U92" s="77"/>
      <c r="V92" s="207">
        <f t="shared" ref="V92:V99" si="86">AE92</f>
        <v>0.64468049999249011</v>
      </c>
      <c r="W92" s="207">
        <f t="shared" ref="W92:AB93" si="87">$AD$99</f>
        <v>0.64468049999249011</v>
      </c>
      <c r="X92" s="207">
        <f t="shared" si="87"/>
        <v>0.64468049999249011</v>
      </c>
      <c r="Y92" s="207">
        <f t="shared" si="87"/>
        <v>0.64468049999249011</v>
      </c>
      <c r="Z92" s="207">
        <f t="shared" si="87"/>
        <v>0.64468049999249011</v>
      </c>
      <c r="AA92" s="207">
        <f t="shared" si="87"/>
        <v>0.64468049999249011</v>
      </c>
      <c r="AB92" s="207">
        <f t="shared" si="87"/>
        <v>0.64468049999249011</v>
      </c>
      <c r="AC92" s="207">
        <f t="shared" ref="AC92:AC98" si="88">AD92</f>
        <v>0.64468049999249011</v>
      </c>
      <c r="AD92" s="299">
        <f t="shared" si="84"/>
        <v>0.64468049999249011</v>
      </c>
      <c r="AE92" s="299">
        <f t="shared" si="85"/>
        <v>0.64468049999249011</v>
      </c>
      <c r="AF92" s="105"/>
      <c r="AG92" s="105"/>
      <c r="AH92" s="105"/>
      <c r="AI92" s="105"/>
      <c r="AJ92" s="105"/>
      <c r="AK92" s="105"/>
      <c r="AL92" s="105"/>
      <c r="AM92" s="105"/>
      <c r="AN92" s="105"/>
      <c r="AO92" s="105"/>
      <c r="AP92" s="71"/>
    </row>
    <row r="93" spans="1:42">
      <c r="A93" s="72" t="s">
        <v>317</v>
      </c>
      <c r="B93" s="103"/>
      <c r="C93" s="76"/>
      <c r="D93" s="77"/>
      <c r="E93" s="77"/>
      <c r="F93" s="77"/>
      <c r="G93" s="77"/>
      <c r="H93" s="77"/>
      <c r="I93" s="77"/>
      <c r="J93" s="77"/>
      <c r="K93" s="77"/>
      <c r="L93" s="77"/>
      <c r="M93" s="77"/>
      <c r="N93" s="77"/>
      <c r="O93" s="77"/>
      <c r="P93" s="77"/>
      <c r="Q93" s="77"/>
      <c r="R93" s="77"/>
      <c r="S93" s="77"/>
      <c r="T93" s="77"/>
      <c r="U93" s="77"/>
      <c r="V93" s="207">
        <f t="shared" si="86"/>
        <v>0.64468049999249011</v>
      </c>
      <c r="W93" s="207">
        <f t="shared" si="87"/>
        <v>0.64468049999249011</v>
      </c>
      <c r="X93" s="207">
        <f t="shared" si="87"/>
        <v>0.64468049999249011</v>
      </c>
      <c r="Y93" s="207">
        <f t="shared" si="87"/>
        <v>0.64468049999249011</v>
      </c>
      <c r="Z93" s="207">
        <f t="shared" si="87"/>
        <v>0.64468049999249011</v>
      </c>
      <c r="AA93" s="207">
        <f t="shared" si="87"/>
        <v>0.64468049999249011</v>
      </c>
      <c r="AB93" s="207">
        <f t="shared" si="87"/>
        <v>0.64468049999249011</v>
      </c>
      <c r="AC93" s="207">
        <f t="shared" si="88"/>
        <v>0.64468049999249011</v>
      </c>
      <c r="AD93" s="299">
        <f t="shared" si="84"/>
        <v>0.64468049999249011</v>
      </c>
      <c r="AE93" s="299">
        <f t="shared" si="85"/>
        <v>0.64468049999249011</v>
      </c>
      <c r="AF93" s="105"/>
      <c r="AG93" s="105"/>
      <c r="AH93" s="105"/>
      <c r="AI93" s="105"/>
      <c r="AJ93" s="105"/>
      <c r="AK93" s="105"/>
      <c r="AL93" s="105"/>
      <c r="AM93" s="105"/>
      <c r="AN93" s="105"/>
      <c r="AO93" s="105"/>
      <c r="AP93" s="71"/>
    </row>
    <row r="94" spans="1:42">
      <c r="A94" s="72" t="s">
        <v>313</v>
      </c>
      <c r="B94" s="103"/>
      <c r="C94" s="76"/>
      <c r="D94" s="77"/>
      <c r="E94" s="77"/>
      <c r="F94" s="77"/>
      <c r="G94" s="77"/>
      <c r="H94" s="77"/>
      <c r="I94" s="77"/>
      <c r="J94" s="77"/>
      <c r="K94" s="77"/>
      <c r="L94" s="77"/>
      <c r="M94" s="77"/>
      <c r="N94" s="77"/>
      <c r="O94" s="77"/>
      <c r="P94" s="77"/>
      <c r="Q94" s="77"/>
      <c r="R94" s="77"/>
      <c r="S94" s="77"/>
      <c r="T94" s="77"/>
      <c r="U94" s="77"/>
      <c r="V94" s="207">
        <f t="shared" si="86"/>
        <v>0.44506268419879175</v>
      </c>
      <c r="W94" s="276">
        <f t="shared" ref="W94:AB94" si="89">W58/W22</f>
        <v>0.45099155315974393</v>
      </c>
      <c r="X94" s="276">
        <f t="shared" si="89"/>
        <v>0.4413146409850055</v>
      </c>
      <c r="Y94" s="276">
        <f t="shared" si="89"/>
        <v>0.44288185845162592</v>
      </c>
      <c r="Z94" s="276">
        <f t="shared" si="89"/>
        <v>0.41681492939292475</v>
      </c>
      <c r="AA94" s="276">
        <f t="shared" si="89"/>
        <v>0.40876742714652575</v>
      </c>
      <c r="AB94" s="276">
        <f t="shared" si="89"/>
        <v>0.83628150829562597</v>
      </c>
      <c r="AC94" s="207">
        <f t="shared" si="88"/>
        <v>0.49950865290524199</v>
      </c>
      <c r="AD94" s="298">
        <f t="shared" si="84"/>
        <v>0.49950865290524199</v>
      </c>
      <c r="AE94" s="298">
        <f t="shared" si="85"/>
        <v>0.44506268419879175</v>
      </c>
      <c r="AF94" s="105"/>
      <c r="AG94" s="105"/>
      <c r="AH94" s="105"/>
      <c r="AI94" s="105"/>
      <c r="AJ94" s="105"/>
      <c r="AK94" s="105"/>
      <c r="AL94" s="105"/>
      <c r="AM94" s="105"/>
      <c r="AN94" s="105"/>
      <c r="AO94" s="105"/>
      <c r="AP94" s="71"/>
    </row>
    <row r="95" spans="1:42">
      <c r="A95" s="72" t="s">
        <v>316</v>
      </c>
      <c r="B95" s="103"/>
      <c r="C95" s="76"/>
      <c r="D95" s="77"/>
      <c r="E95" s="77"/>
      <c r="F95" s="77"/>
      <c r="G95" s="77"/>
      <c r="H95" s="77"/>
      <c r="I95" s="77"/>
      <c r="J95" s="77"/>
      <c r="K95" s="77"/>
      <c r="L95" s="77"/>
      <c r="M95" s="77"/>
      <c r="N95" s="77"/>
      <c r="O95" s="77"/>
      <c r="P95" s="77"/>
      <c r="Q95" s="77"/>
      <c r="R95" s="77"/>
      <c r="S95" s="77"/>
      <c r="T95" s="77"/>
      <c r="U95" s="77"/>
      <c r="V95" s="207">
        <f t="shared" si="86"/>
        <v>0.64468049999249011</v>
      </c>
      <c r="W95" s="207">
        <f t="shared" ref="W95:AB95" si="90">$AD$99</f>
        <v>0.64468049999249011</v>
      </c>
      <c r="X95" s="207">
        <f t="shared" si="90"/>
        <v>0.64468049999249011</v>
      </c>
      <c r="Y95" s="207">
        <f t="shared" si="90"/>
        <v>0.64468049999249011</v>
      </c>
      <c r="Z95" s="207">
        <f t="shared" si="90"/>
        <v>0.64468049999249011</v>
      </c>
      <c r="AA95" s="207">
        <f t="shared" si="90"/>
        <v>0.64468049999249011</v>
      </c>
      <c r="AB95" s="207">
        <f t="shared" si="90"/>
        <v>0.64468049999249011</v>
      </c>
      <c r="AC95" s="207">
        <f t="shared" si="88"/>
        <v>0.64468049999249011</v>
      </c>
      <c r="AD95" s="299">
        <f t="shared" si="84"/>
        <v>0.64468049999249011</v>
      </c>
      <c r="AE95" s="299">
        <f t="shared" si="85"/>
        <v>0.64468049999249011</v>
      </c>
      <c r="AF95" s="105"/>
      <c r="AG95" s="105"/>
      <c r="AH95" s="105"/>
      <c r="AI95" s="105"/>
      <c r="AJ95" s="105"/>
      <c r="AK95" s="105"/>
      <c r="AL95" s="105"/>
      <c r="AM95" s="105"/>
      <c r="AN95" s="105"/>
      <c r="AO95" s="105"/>
      <c r="AP95" s="71"/>
    </row>
    <row r="96" spans="1:42">
      <c r="A96" s="72" t="s">
        <v>312</v>
      </c>
      <c r="B96" s="103"/>
      <c r="C96" s="76"/>
      <c r="D96" s="77"/>
      <c r="E96" s="77"/>
      <c r="F96" s="77"/>
      <c r="G96" s="77"/>
      <c r="H96" s="77"/>
      <c r="I96" s="77"/>
      <c r="J96" s="77"/>
      <c r="K96" s="77"/>
      <c r="L96" s="77"/>
      <c r="M96" s="77"/>
      <c r="N96" s="77"/>
      <c r="O96" s="77"/>
      <c r="P96" s="77"/>
      <c r="Q96" s="77"/>
      <c r="R96" s="77"/>
      <c r="S96" s="77"/>
      <c r="T96" s="77"/>
      <c r="U96" s="77"/>
      <c r="V96" s="207">
        <f t="shared" si="86"/>
        <v>0.59763035332871828</v>
      </c>
      <c r="W96" s="276">
        <f t="shared" ref="W96:AC97" si="91">W60/W24</f>
        <v>0.5963241596064498</v>
      </c>
      <c r="X96" s="276">
        <f t="shared" si="91"/>
        <v>0.59550326870425208</v>
      </c>
      <c r="Y96" s="276">
        <f t="shared" si="91"/>
        <v>0.60106363167545263</v>
      </c>
      <c r="Z96" s="276">
        <f t="shared" si="91"/>
        <v>0.60523948379030101</v>
      </c>
      <c r="AA96" s="276">
        <f t="shared" si="91"/>
        <v>0.65475693738195551</v>
      </c>
      <c r="AB96" s="276">
        <f t="shared" si="91"/>
        <v>0.69608360957642723</v>
      </c>
      <c r="AC96" s="207">
        <f t="shared" si="88"/>
        <v>0.62482851512247317</v>
      </c>
      <c r="AD96" s="298">
        <f t="shared" si="84"/>
        <v>0.62482851512247317</v>
      </c>
      <c r="AE96" s="298">
        <f t="shared" si="85"/>
        <v>0.59763035332871828</v>
      </c>
      <c r="AF96" s="105"/>
      <c r="AG96" s="105"/>
      <c r="AH96" s="105"/>
      <c r="AI96" s="105"/>
      <c r="AJ96" s="105"/>
      <c r="AK96" s="105"/>
      <c r="AL96" s="105"/>
      <c r="AM96" s="105"/>
      <c r="AN96" s="105"/>
      <c r="AO96" s="105"/>
      <c r="AP96" s="71"/>
    </row>
    <row r="97" spans="1:42">
      <c r="A97" s="72" t="s">
        <v>311</v>
      </c>
      <c r="B97" s="103"/>
      <c r="C97" s="76"/>
      <c r="D97" s="77"/>
      <c r="E97" s="77"/>
      <c r="F97" s="77"/>
      <c r="G97" s="77"/>
      <c r="H97" s="77"/>
      <c r="I97" s="77"/>
      <c r="J97" s="77"/>
      <c r="K97" s="77"/>
      <c r="L97" s="77"/>
      <c r="M97" s="77"/>
      <c r="N97" s="77"/>
      <c r="O97" s="77"/>
      <c r="P97" s="77"/>
      <c r="Q97" s="77"/>
      <c r="R97" s="77"/>
      <c r="S97" s="77"/>
      <c r="T97" s="77"/>
      <c r="U97" s="77"/>
      <c r="V97" s="207">
        <f t="shared" si="86"/>
        <v>0.6689319331243504</v>
      </c>
      <c r="W97" s="276">
        <f t="shared" si="91"/>
        <v>0.63626602063144733</v>
      </c>
      <c r="X97" s="276">
        <f t="shared" si="91"/>
        <v>0.69105161318565866</v>
      </c>
      <c r="Y97" s="276">
        <f t="shared" si="91"/>
        <v>0.67947816555594531</v>
      </c>
      <c r="Z97" s="276">
        <f t="shared" si="91"/>
        <v>0.63782660873163666</v>
      </c>
      <c r="AA97" s="276">
        <f t="shared" si="91"/>
        <v>0.66352689452304248</v>
      </c>
      <c r="AB97" s="276">
        <f t="shared" si="91"/>
        <v>0.68519360665608409</v>
      </c>
      <c r="AC97" s="276">
        <f t="shared" si="91"/>
        <v>0.61236960477338431</v>
      </c>
      <c r="AD97" s="298">
        <f t="shared" si="84"/>
        <v>0.66555715154730233</v>
      </c>
      <c r="AE97" s="298">
        <f t="shared" si="85"/>
        <v>0.6689319331243504</v>
      </c>
      <c r="AF97" s="105"/>
      <c r="AG97" s="105"/>
      <c r="AH97" s="105"/>
      <c r="AI97" s="105"/>
      <c r="AJ97" s="105"/>
      <c r="AK97" s="105"/>
      <c r="AL97" s="105"/>
      <c r="AM97" s="105"/>
      <c r="AN97" s="105"/>
      <c r="AO97" s="105"/>
      <c r="AP97" s="71"/>
    </row>
    <row r="98" spans="1:42">
      <c r="A98" s="72" t="s">
        <v>314</v>
      </c>
      <c r="B98" s="104"/>
      <c r="C98" s="76"/>
      <c r="D98" s="77"/>
      <c r="E98" s="77"/>
      <c r="F98" s="77"/>
      <c r="G98" s="77"/>
      <c r="H98" s="77"/>
      <c r="I98" s="77"/>
      <c r="J98" s="77"/>
      <c r="K98" s="77"/>
      <c r="L98" s="77"/>
      <c r="M98" s="77"/>
      <c r="N98" s="77"/>
      <c r="O98" s="77"/>
      <c r="P98" s="77"/>
      <c r="Q98" s="77"/>
      <c r="R98" s="77"/>
      <c r="S98" s="77"/>
      <c r="T98" s="77"/>
      <c r="U98" s="77"/>
      <c r="V98" s="207">
        <f t="shared" si="86"/>
        <v>0.74800916342358759</v>
      </c>
      <c r="W98" s="207">
        <f>$AE$98</f>
        <v>0.74800916342358759</v>
      </c>
      <c r="X98" s="207">
        <f>$AE$98</f>
        <v>0.74800916342358759</v>
      </c>
      <c r="Y98" s="276">
        <f>Y62/Y26</f>
        <v>0.74800916342358759</v>
      </c>
      <c r="Z98" s="276">
        <f>Z62/Z26</f>
        <v>0.76010045240918878</v>
      </c>
      <c r="AA98" s="276">
        <f>AA62/AA26</f>
        <v>0.78209069985908874</v>
      </c>
      <c r="AB98" s="276">
        <f>AB62/AB26</f>
        <v>0.94674743983061838</v>
      </c>
      <c r="AC98" s="207">
        <f t="shared" si="88"/>
        <v>0.78882768039494311</v>
      </c>
      <c r="AD98" s="298">
        <f t="shared" si="84"/>
        <v>0.78882768039494311</v>
      </c>
      <c r="AE98" s="298">
        <f>AVERAGE(Y98:Y98)</f>
        <v>0.74800916342358759</v>
      </c>
      <c r="AF98" s="105"/>
      <c r="AG98" s="105"/>
      <c r="AH98" s="105"/>
      <c r="AI98" s="105"/>
      <c r="AJ98" s="105"/>
      <c r="AK98" s="105"/>
      <c r="AL98" s="105"/>
      <c r="AM98" s="105"/>
      <c r="AN98" s="105"/>
      <c r="AO98" s="105"/>
      <c r="AP98" s="71"/>
    </row>
    <row r="99" spans="1:42" s="61" customFormat="1">
      <c r="A99" s="74" t="s">
        <v>752</v>
      </c>
      <c r="B99" s="72" t="s">
        <v>751</v>
      </c>
      <c r="C99" s="75"/>
      <c r="D99" s="78"/>
      <c r="E99" s="78"/>
      <c r="F99" s="78"/>
      <c r="G99" s="78"/>
      <c r="H99" s="78"/>
      <c r="I99" s="78"/>
      <c r="J99" s="78"/>
      <c r="K99" s="78"/>
      <c r="L99" s="78"/>
      <c r="M99" s="78"/>
      <c r="N99" s="78"/>
      <c r="O99" s="78"/>
      <c r="P99" s="78"/>
      <c r="Q99" s="78"/>
      <c r="R99" s="78"/>
      <c r="S99" s="78"/>
      <c r="T99" s="78"/>
      <c r="U99" s="78"/>
      <c r="V99" s="207">
        <f t="shared" si="86"/>
        <v>0.61490853351886199</v>
      </c>
      <c r="W99" s="291">
        <f>AVERAGE(W91,W94,W97,W96)</f>
        <v>0.57631421616769385</v>
      </c>
      <c r="X99" s="291">
        <f>AVERAGE(X91,X94,X97,X96)</f>
        <v>0.58771732274099253</v>
      </c>
      <c r="Y99" s="291">
        <f>AVERAGE(Y91,Y94,Y97,Y96,Y98)</f>
        <v>0.61847635474462159</v>
      </c>
      <c r="Z99" s="291">
        <f t="shared" ref="Z99:AB99" si="92">AVERAGE(Z91,Z94,Z97,Z96,Z98)</f>
        <v>0.60848253339692027</v>
      </c>
      <c r="AA99" s="291">
        <f t="shared" si="92"/>
        <v>0.6338646118889254</v>
      </c>
      <c r="AB99" s="291">
        <f t="shared" si="92"/>
        <v>0.76526452565240244</v>
      </c>
      <c r="AC99" s="291">
        <f>AVERAGE(AC94,AC97,AC96,AC98)</f>
        <v>0.6313836132990106</v>
      </c>
      <c r="AD99" s="291">
        <f>AVERAGE(AD94,AD97,AD96,AD98)</f>
        <v>0.64468049999249011</v>
      </c>
      <c r="AE99" s="291">
        <f>AVERAGE(AE94,AE97,AE96,AE98)</f>
        <v>0.61490853351886199</v>
      </c>
      <c r="AF99" s="105"/>
      <c r="AG99" s="105"/>
      <c r="AH99" s="105"/>
      <c r="AI99" s="105"/>
      <c r="AJ99" s="105"/>
      <c r="AK99" s="105"/>
      <c r="AL99" s="105"/>
      <c r="AM99" s="105"/>
      <c r="AN99" s="105"/>
      <c r="AO99" s="105"/>
      <c r="AP99" s="106"/>
    </row>
    <row r="100" spans="1:42">
      <c r="AD100" s="292">
        <f>AVERAGE(AD91,AD94,AD96,AD97,AD98)</f>
        <v>0.64275282036320891</v>
      </c>
      <c r="AE100" s="292">
        <f>AVERAGE(AE91,AE94,AE96,AE97,AE98)</f>
        <v>0.61630175041366864</v>
      </c>
    </row>
  </sheetData>
  <mergeCells count="21">
    <mergeCell ref="B43:B50"/>
    <mergeCell ref="C53:AB53"/>
    <mergeCell ref="C65:AB65"/>
    <mergeCell ref="C77:AB77"/>
    <mergeCell ref="C5:AB5"/>
    <mergeCell ref="C17:AB17"/>
    <mergeCell ref="C29:AB29"/>
    <mergeCell ref="C41:AB41"/>
    <mergeCell ref="B7:B14"/>
    <mergeCell ref="B19:B26"/>
    <mergeCell ref="B31:B38"/>
    <mergeCell ref="B55:U55"/>
    <mergeCell ref="B56:U56"/>
    <mergeCell ref="B57:U57"/>
    <mergeCell ref="B58:U58"/>
    <mergeCell ref="B60:U60"/>
    <mergeCell ref="B61:U61"/>
    <mergeCell ref="B62:U62"/>
    <mergeCell ref="B63:U63"/>
    <mergeCell ref="B59:U59"/>
    <mergeCell ref="C89:AB89"/>
  </mergeCells>
  <hyperlinks>
    <hyperlink ref="A4" r:id="rId1" location="!/view/sk/vbd_sk_win2/do3801rr/v_do3801rr_00_00_00_sk"/>
  </hyperlinks>
  <pageMargins left="0.75" right="0.75" top="1" bottom="1" header="0.5" footer="0.5"/>
  <pageSetup orientation="portrait"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04"/>
  <sheetViews>
    <sheetView showGridLines="0" workbookViewId="0">
      <pane xSplit="1" ySplit="4" topLeftCell="B5" activePane="bottomRight" state="frozen"/>
      <selection pane="topRight" activeCell="B1" sqref="B1"/>
      <selection pane="bottomLeft" activeCell="A5" sqref="A5"/>
      <selection pane="bottomRight" activeCell="Y8" sqref="Y8"/>
    </sheetView>
  </sheetViews>
  <sheetFormatPr defaultColWidth="8.85546875" defaultRowHeight="12.75"/>
  <cols>
    <col min="1" max="2" width="16.5703125" style="60" customWidth="1"/>
    <col min="3" max="3" width="11.85546875" style="60" customWidth="1"/>
    <col min="4" max="4" width="13.7109375" style="60" customWidth="1"/>
    <col min="5" max="5" width="9.85546875" style="60" bestFit="1" customWidth="1"/>
    <col min="6" max="14" width="9.85546875" style="60" hidden="1" customWidth="1"/>
    <col min="15" max="24" width="9.85546875" style="60" bestFit="1" customWidth="1"/>
    <col min="25" max="25" width="13.140625" style="60" customWidth="1"/>
    <col min="26" max="28" width="9.85546875" style="60" bestFit="1" customWidth="1"/>
    <col min="29" max="30" width="9.5703125" style="60" bestFit="1" customWidth="1"/>
    <col min="31" max="31" width="8.85546875" style="60"/>
    <col min="32" max="32" width="9.7109375" style="60" customWidth="1"/>
    <col min="33" max="41" width="10.140625" style="60" customWidth="1"/>
    <col min="42" max="16384" width="8.85546875" style="60"/>
  </cols>
  <sheetData>
    <row r="1" spans="1:42" ht="15">
      <c r="A1" s="62" t="s">
        <v>279</v>
      </c>
      <c r="B1" s="62"/>
      <c r="C1" s="62"/>
      <c r="D1" s="63"/>
      <c r="J1" s="60" t="s">
        <v>354</v>
      </c>
    </row>
    <row r="2" spans="1:42">
      <c r="A2" s="64" t="s">
        <v>280</v>
      </c>
      <c r="B2" s="64"/>
    </row>
    <row r="3" spans="1:42" ht="15">
      <c r="A3" s="62" t="s">
        <v>281</v>
      </c>
      <c r="B3" s="62"/>
      <c r="C3" s="62"/>
    </row>
    <row r="4" spans="1:42" ht="15">
      <c r="A4" s="199" t="s">
        <v>282</v>
      </c>
      <c r="B4" s="63"/>
    </row>
    <row r="5" spans="1:42">
      <c r="A5" s="71">
        <v>1</v>
      </c>
      <c r="B5" s="71" t="s">
        <v>494</v>
      </c>
      <c r="C5" s="1910" t="s">
        <v>321</v>
      </c>
      <c r="D5" s="1910"/>
      <c r="E5" s="1910"/>
      <c r="F5" s="1910"/>
      <c r="G5" s="1910"/>
      <c r="H5" s="1910"/>
      <c r="I5" s="1910"/>
      <c r="J5" s="1910"/>
      <c r="K5" s="1910"/>
      <c r="L5" s="1910"/>
      <c r="M5" s="1910"/>
      <c r="N5" s="1910"/>
      <c r="O5" s="1910"/>
      <c r="P5" s="1910"/>
      <c r="Q5" s="1910"/>
      <c r="R5" s="1910"/>
      <c r="S5" s="1910"/>
      <c r="T5" s="1910"/>
      <c r="U5" s="1910"/>
      <c r="V5" s="1910"/>
      <c r="W5" s="1910"/>
      <c r="X5" s="1910"/>
      <c r="Y5" s="1910"/>
      <c r="Z5" s="1910"/>
      <c r="AA5" s="1910"/>
      <c r="AB5" s="1910"/>
      <c r="AC5" s="86"/>
      <c r="AD5" s="86"/>
      <c r="AE5" s="115"/>
      <c r="AF5" s="115"/>
      <c r="AG5" s="115"/>
      <c r="AH5" s="115"/>
      <c r="AI5" s="115"/>
      <c r="AJ5" s="115"/>
      <c r="AK5" s="115"/>
      <c r="AL5" s="115"/>
      <c r="AM5" s="115"/>
      <c r="AN5" s="115"/>
      <c r="AO5" s="115"/>
      <c r="AP5" s="115"/>
    </row>
    <row r="6" spans="1:42">
      <c r="A6" s="71"/>
      <c r="B6" s="71"/>
      <c r="C6" s="72" t="s">
        <v>284</v>
      </c>
      <c r="D6" s="72" t="s">
        <v>285</v>
      </c>
      <c r="E6" s="72" t="s">
        <v>286</v>
      </c>
      <c r="F6" s="72" t="s">
        <v>287</v>
      </c>
      <c r="G6" s="72" t="s">
        <v>288</v>
      </c>
      <c r="H6" s="72" t="s">
        <v>289</v>
      </c>
      <c r="I6" s="72" t="s">
        <v>290</v>
      </c>
      <c r="J6" s="72" t="s">
        <v>291</v>
      </c>
      <c r="K6" s="72" t="s">
        <v>292</v>
      </c>
      <c r="L6" s="72" t="s">
        <v>293</v>
      </c>
      <c r="M6" s="72" t="s">
        <v>294</v>
      </c>
      <c r="N6" s="72" t="s">
        <v>295</v>
      </c>
      <c r="O6" s="72" t="s">
        <v>296</v>
      </c>
      <c r="P6" s="72" t="s">
        <v>297</v>
      </c>
      <c r="Q6" s="72" t="s">
        <v>298</v>
      </c>
      <c r="R6" s="72" t="s">
        <v>299</v>
      </c>
      <c r="S6" s="72" t="s">
        <v>300</v>
      </c>
      <c r="T6" s="72" t="s">
        <v>301</v>
      </c>
      <c r="U6" s="72" t="s">
        <v>302</v>
      </c>
      <c r="V6" s="72" t="s">
        <v>303</v>
      </c>
      <c r="W6" s="72" t="s">
        <v>304</v>
      </c>
      <c r="X6" s="72" t="s">
        <v>305</v>
      </c>
      <c r="Y6" s="72" t="s">
        <v>306</v>
      </c>
      <c r="Z6" s="72" t="s">
        <v>307</v>
      </c>
      <c r="AA6" s="72" t="s">
        <v>308</v>
      </c>
      <c r="AB6" s="72" t="s">
        <v>309</v>
      </c>
      <c r="AC6" s="72" t="s">
        <v>351</v>
      </c>
      <c r="AD6" s="72" t="s">
        <v>352</v>
      </c>
      <c r="AE6" s="72" t="s">
        <v>340</v>
      </c>
      <c r="AF6" s="72" t="s">
        <v>341</v>
      </c>
      <c r="AG6" s="72" t="s">
        <v>342</v>
      </c>
      <c r="AH6" s="72" t="s">
        <v>343</v>
      </c>
      <c r="AI6" s="72" t="s">
        <v>344</v>
      </c>
      <c r="AJ6" s="72" t="s">
        <v>345</v>
      </c>
      <c r="AK6" s="72" t="s">
        <v>346</v>
      </c>
      <c r="AL6" s="72" t="s">
        <v>347</v>
      </c>
      <c r="AM6" s="72" t="s">
        <v>348</v>
      </c>
      <c r="AN6" s="72" t="s">
        <v>349</v>
      </c>
      <c r="AO6" s="72" t="s">
        <v>350</v>
      </c>
      <c r="AP6" s="72" t="s">
        <v>353</v>
      </c>
    </row>
    <row r="7" spans="1:42">
      <c r="A7" s="72" t="s">
        <v>315</v>
      </c>
      <c r="B7" s="1917" t="s">
        <v>339</v>
      </c>
      <c r="C7" s="73">
        <v>1696</v>
      </c>
      <c r="D7" s="73">
        <v>1321</v>
      </c>
      <c r="E7" s="73">
        <v>1209</v>
      </c>
      <c r="F7" s="73">
        <v>1375</v>
      </c>
      <c r="G7" s="73">
        <v>1307</v>
      </c>
      <c r="H7" s="73">
        <v>1136</v>
      </c>
      <c r="I7" s="73">
        <v>1082</v>
      </c>
      <c r="J7" s="73">
        <v>1159</v>
      </c>
      <c r="K7" s="73">
        <v>1193</v>
      </c>
      <c r="L7" s="73">
        <v>1232</v>
      </c>
      <c r="M7" s="73">
        <v>1208</v>
      </c>
      <c r="N7" s="73">
        <v>954</v>
      </c>
      <c r="O7" s="73">
        <v>567</v>
      </c>
      <c r="P7" s="73">
        <v>578</v>
      </c>
      <c r="Q7" s="73">
        <v>603</v>
      </c>
      <c r="R7" s="73">
        <v>606</v>
      </c>
      <c r="S7" s="73">
        <v>588</v>
      </c>
      <c r="T7" s="73">
        <v>553</v>
      </c>
      <c r="U7" s="73">
        <v>521</v>
      </c>
      <c r="V7" s="73">
        <v>499</v>
      </c>
      <c r="W7" s="73">
        <v>494</v>
      </c>
      <c r="X7" s="73">
        <v>489</v>
      </c>
      <c r="Y7" s="73">
        <v>472</v>
      </c>
      <c r="Z7" s="73">
        <v>283</v>
      </c>
      <c r="AA7" s="73">
        <v>256</v>
      </c>
      <c r="AB7" s="73">
        <v>346</v>
      </c>
      <c r="AC7" s="73">
        <f t="shared" ref="AC7:AC14" si="0">AVERAGE(S7:AB7)</f>
        <v>450.1</v>
      </c>
      <c r="AD7" s="73">
        <f t="shared" ref="AD7:AD14" si="1">AVERAGE(Q7:Y7)</f>
        <v>536.11111111111109</v>
      </c>
      <c r="AE7" s="115"/>
      <c r="AF7" s="115"/>
      <c r="AG7" s="115"/>
      <c r="AH7" s="115"/>
      <c r="AI7" s="115"/>
      <c r="AJ7" s="115"/>
      <c r="AK7" s="115"/>
      <c r="AL7" s="115"/>
      <c r="AM7" s="115"/>
      <c r="AN7" s="115"/>
      <c r="AO7" s="115"/>
      <c r="AP7" s="115"/>
    </row>
    <row r="8" spans="1:42">
      <c r="A8" s="72" t="s">
        <v>310</v>
      </c>
      <c r="B8" s="1918"/>
      <c r="C8" s="73">
        <v>639</v>
      </c>
      <c r="D8" s="73">
        <v>536</v>
      </c>
      <c r="E8" s="73">
        <v>501</v>
      </c>
      <c r="F8" s="73">
        <v>529</v>
      </c>
      <c r="G8" s="73">
        <v>566</v>
      </c>
      <c r="H8" s="73">
        <v>820</v>
      </c>
      <c r="I8" s="73">
        <v>483</v>
      </c>
      <c r="J8" s="73">
        <v>511</v>
      </c>
      <c r="K8" s="73">
        <v>469</v>
      </c>
      <c r="L8" s="73">
        <v>479</v>
      </c>
      <c r="M8" s="73">
        <v>478</v>
      </c>
      <c r="N8" s="73">
        <v>449</v>
      </c>
      <c r="O8" s="73">
        <v>360</v>
      </c>
      <c r="P8" s="73">
        <v>364</v>
      </c>
      <c r="Q8" s="73">
        <v>411</v>
      </c>
      <c r="R8" s="73">
        <v>427</v>
      </c>
      <c r="S8" s="73">
        <v>453</v>
      </c>
      <c r="T8" s="156">
        <v>317</v>
      </c>
      <c r="U8" s="156">
        <v>464</v>
      </c>
      <c r="V8" s="156">
        <v>767</v>
      </c>
      <c r="W8" s="156">
        <v>1128</v>
      </c>
      <c r="X8" s="156">
        <v>1503</v>
      </c>
      <c r="Y8" s="156">
        <v>1551</v>
      </c>
      <c r="Z8" s="73">
        <v>685</v>
      </c>
      <c r="AA8" s="73">
        <v>494</v>
      </c>
      <c r="AB8" s="73">
        <v>595</v>
      </c>
      <c r="AC8" s="73">
        <f t="shared" si="0"/>
        <v>795.7</v>
      </c>
      <c r="AD8" s="73">
        <f t="shared" si="1"/>
        <v>780.11111111111109</v>
      </c>
      <c r="AE8" s="115"/>
      <c r="AF8" s="115"/>
      <c r="AG8" s="115"/>
      <c r="AH8" s="115"/>
      <c r="AI8" s="115"/>
      <c r="AJ8" s="115"/>
      <c r="AK8" s="115"/>
      <c r="AL8" s="115"/>
      <c r="AM8" s="115"/>
      <c r="AN8" s="115"/>
      <c r="AO8" s="115"/>
      <c r="AP8" s="115"/>
    </row>
    <row r="9" spans="1:42">
      <c r="A9" s="72" t="s">
        <v>317</v>
      </c>
      <c r="B9" s="1918"/>
      <c r="C9" s="73">
        <v>1483</v>
      </c>
      <c r="D9" s="73">
        <v>1298</v>
      </c>
      <c r="E9" s="73">
        <v>1108</v>
      </c>
      <c r="F9" s="73">
        <v>1052</v>
      </c>
      <c r="G9" s="73">
        <v>1083</v>
      </c>
      <c r="H9" s="73">
        <v>988</v>
      </c>
      <c r="I9" s="73">
        <v>1073</v>
      </c>
      <c r="J9" s="73">
        <v>914</v>
      </c>
      <c r="K9" s="73">
        <v>942</v>
      </c>
      <c r="L9" s="73">
        <v>950</v>
      </c>
      <c r="M9" s="73">
        <v>952</v>
      </c>
      <c r="N9" s="73">
        <v>836</v>
      </c>
      <c r="O9" s="73">
        <v>501</v>
      </c>
      <c r="P9" s="73">
        <v>457</v>
      </c>
      <c r="Q9" s="73">
        <v>528</v>
      </c>
      <c r="R9" s="73">
        <v>516</v>
      </c>
      <c r="S9" s="73">
        <v>506</v>
      </c>
      <c r="T9" s="73">
        <v>421</v>
      </c>
      <c r="U9" s="73">
        <v>450</v>
      </c>
      <c r="V9" s="73">
        <v>415</v>
      </c>
      <c r="W9" s="73">
        <v>400</v>
      </c>
      <c r="X9" s="73">
        <v>383</v>
      </c>
      <c r="Y9" s="73">
        <v>389</v>
      </c>
      <c r="Z9" s="73">
        <v>227</v>
      </c>
      <c r="AA9" s="73">
        <v>206</v>
      </c>
      <c r="AB9" s="73">
        <v>293</v>
      </c>
      <c r="AC9" s="73">
        <f t="shared" si="0"/>
        <v>369</v>
      </c>
      <c r="AD9" s="73">
        <f t="shared" si="1"/>
        <v>445.33333333333331</v>
      </c>
      <c r="AE9" s="115"/>
      <c r="AF9" s="115"/>
      <c r="AG9" s="115"/>
      <c r="AH9" s="115"/>
      <c r="AI9" s="115"/>
      <c r="AJ9" s="115"/>
      <c r="AK9" s="115"/>
      <c r="AL9" s="115"/>
      <c r="AM9" s="115"/>
      <c r="AN9" s="115"/>
      <c r="AO9" s="115"/>
      <c r="AP9" s="115"/>
    </row>
    <row r="10" spans="1:42">
      <c r="A10" s="72" t="s">
        <v>313</v>
      </c>
      <c r="B10" s="1918"/>
      <c r="C10" s="73">
        <v>1317</v>
      </c>
      <c r="D10" s="73">
        <v>1222</v>
      </c>
      <c r="E10" s="73">
        <v>1082</v>
      </c>
      <c r="F10" s="73">
        <v>1076</v>
      </c>
      <c r="G10" s="73">
        <v>1316</v>
      </c>
      <c r="H10" s="73">
        <v>1411</v>
      </c>
      <c r="I10" s="73">
        <v>1289</v>
      </c>
      <c r="J10" s="73">
        <v>1271</v>
      </c>
      <c r="K10" s="73">
        <v>1192</v>
      </c>
      <c r="L10" s="73">
        <v>1267</v>
      </c>
      <c r="M10" s="73">
        <v>1212</v>
      </c>
      <c r="N10" s="73">
        <v>997</v>
      </c>
      <c r="O10" s="73">
        <v>785</v>
      </c>
      <c r="P10" s="73">
        <v>723</v>
      </c>
      <c r="Q10" s="73">
        <v>748</v>
      </c>
      <c r="R10" s="73">
        <v>712</v>
      </c>
      <c r="S10" s="73">
        <v>710</v>
      </c>
      <c r="T10" s="73">
        <v>628</v>
      </c>
      <c r="U10" s="73">
        <v>612</v>
      </c>
      <c r="V10" s="73">
        <v>588</v>
      </c>
      <c r="W10" s="73">
        <v>529</v>
      </c>
      <c r="X10" s="73">
        <v>621</v>
      </c>
      <c r="Y10" s="73">
        <v>526</v>
      </c>
      <c r="Z10" s="73">
        <v>351</v>
      </c>
      <c r="AA10" s="73">
        <v>350</v>
      </c>
      <c r="AB10" s="73">
        <v>369</v>
      </c>
      <c r="AC10" s="73">
        <f t="shared" si="0"/>
        <v>528.4</v>
      </c>
      <c r="AD10" s="73">
        <f t="shared" si="1"/>
        <v>630.44444444444446</v>
      </c>
      <c r="AE10" s="115"/>
      <c r="AF10" s="115"/>
      <c r="AG10" s="115"/>
      <c r="AH10" s="115"/>
      <c r="AI10" s="115"/>
      <c r="AJ10" s="115"/>
      <c r="AK10" s="115"/>
      <c r="AL10" s="115"/>
      <c r="AM10" s="115"/>
      <c r="AN10" s="115"/>
      <c r="AO10" s="115"/>
      <c r="AP10" s="115"/>
    </row>
    <row r="11" spans="1:42">
      <c r="A11" s="72" t="s">
        <v>316</v>
      </c>
      <c r="B11" s="1918"/>
      <c r="C11" s="73">
        <v>1305</v>
      </c>
      <c r="D11" s="73">
        <v>1168</v>
      </c>
      <c r="E11" s="73">
        <v>1142</v>
      </c>
      <c r="F11" s="73">
        <v>1286</v>
      </c>
      <c r="G11" s="73">
        <v>1205</v>
      </c>
      <c r="H11" s="73">
        <v>1202</v>
      </c>
      <c r="I11" s="73">
        <v>1135</v>
      </c>
      <c r="J11" s="73">
        <v>1497</v>
      </c>
      <c r="K11" s="73">
        <v>1163</v>
      </c>
      <c r="L11" s="73">
        <v>1177</v>
      </c>
      <c r="M11" s="73">
        <v>945</v>
      </c>
      <c r="N11" s="73">
        <v>1081</v>
      </c>
      <c r="O11" s="73">
        <v>598</v>
      </c>
      <c r="P11" s="73">
        <v>568</v>
      </c>
      <c r="Q11" s="73">
        <v>550</v>
      </c>
      <c r="R11" s="73">
        <v>536</v>
      </c>
      <c r="S11" s="73">
        <v>524</v>
      </c>
      <c r="T11" s="73">
        <v>510</v>
      </c>
      <c r="U11" s="73">
        <v>465</v>
      </c>
      <c r="V11" s="73">
        <v>447</v>
      </c>
      <c r="W11" s="73">
        <v>439</v>
      </c>
      <c r="X11" s="73">
        <v>432</v>
      </c>
      <c r="Y11" s="73">
        <v>428</v>
      </c>
      <c r="Z11" s="73">
        <v>263</v>
      </c>
      <c r="AA11" s="73">
        <v>234</v>
      </c>
      <c r="AB11" s="73">
        <v>313</v>
      </c>
      <c r="AC11" s="73">
        <f t="shared" si="0"/>
        <v>405.5</v>
      </c>
      <c r="AD11" s="73">
        <f t="shared" si="1"/>
        <v>481.22222222222223</v>
      </c>
      <c r="AE11" s="115"/>
      <c r="AF11" s="115"/>
      <c r="AG11" s="115"/>
      <c r="AH11" s="115"/>
      <c r="AI11" s="115"/>
      <c r="AJ11" s="115"/>
      <c r="AK11" s="115"/>
      <c r="AL11" s="115"/>
      <c r="AM11" s="115"/>
      <c r="AN11" s="115"/>
      <c r="AO11" s="115"/>
      <c r="AP11" s="115"/>
    </row>
    <row r="12" spans="1:42">
      <c r="A12" s="72" t="s">
        <v>312</v>
      </c>
      <c r="B12" s="1918"/>
      <c r="C12" s="73">
        <v>1275</v>
      </c>
      <c r="D12" s="73">
        <v>1030</v>
      </c>
      <c r="E12" s="73">
        <v>913</v>
      </c>
      <c r="F12" s="73">
        <v>994</v>
      </c>
      <c r="G12" s="73">
        <v>992</v>
      </c>
      <c r="H12" s="73">
        <v>974</v>
      </c>
      <c r="I12" s="73">
        <v>934</v>
      </c>
      <c r="J12" s="73">
        <v>1006</v>
      </c>
      <c r="K12" s="73">
        <v>1019</v>
      </c>
      <c r="L12" s="73">
        <v>971</v>
      </c>
      <c r="M12" s="73">
        <v>1084</v>
      </c>
      <c r="N12" s="73">
        <v>706</v>
      </c>
      <c r="O12" s="73">
        <v>586</v>
      </c>
      <c r="P12" s="73">
        <v>666</v>
      </c>
      <c r="Q12" s="73">
        <v>645</v>
      </c>
      <c r="R12" s="73">
        <v>666</v>
      </c>
      <c r="S12" s="73">
        <v>581</v>
      </c>
      <c r="T12" s="73">
        <v>557</v>
      </c>
      <c r="U12" s="73">
        <v>553</v>
      </c>
      <c r="V12" s="73">
        <v>540</v>
      </c>
      <c r="W12" s="73">
        <v>547</v>
      </c>
      <c r="X12" s="73">
        <v>546</v>
      </c>
      <c r="Y12" s="73">
        <v>550</v>
      </c>
      <c r="Z12" s="73">
        <v>301</v>
      </c>
      <c r="AA12" s="73">
        <v>304</v>
      </c>
      <c r="AB12" s="73">
        <v>378</v>
      </c>
      <c r="AC12" s="73">
        <f t="shared" si="0"/>
        <v>485.7</v>
      </c>
      <c r="AD12" s="73">
        <f t="shared" si="1"/>
        <v>576.11111111111109</v>
      </c>
      <c r="AE12" s="115"/>
      <c r="AF12" s="115"/>
      <c r="AG12" s="115"/>
      <c r="AH12" s="115"/>
      <c r="AI12" s="115"/>
      <c r="AJ12" s="115"/>
      <c r="AK12" s="115"/>
      <c r="AL12" s="115"/>
      <c r="AM12" s="115"/>
      <c r="AN12" s="115"/>
      <c r="AO12" s="115"/>
      <c r="AP12" s="115"/>
    </row>
    <row r="13" spans="1:42">
      <c r="A13" s="72" t="s">
        <v>311</v>
      </c>
      <c r="B13" s="1918"/>
      <c r="C13" s="73">
        <v>970</v>
      </c>
      <c r="D13" s="73">
        <v>1007</v>
      </c>
      <c r="E13" s="73">
        <v>834</v>
      </c>
      <c r="F13" s="73">
        <v>836</v>
      </c>
      <c r="G13" s="73">
        <v>729</v>
      </c>
      <c r="H13" s="73">
        <v>716</v>
      </c>
      <c r="I13" s="73">
        <v>665</v>
      </c>
      <c r="J13" s="73">
        <v>661</v>
      </c>
      <c r="K13" s="73">
        <v>675</v>
      </c>
      <c r="L13" s="73">
        <v>771</v>
      </c>
      <c r="M13" s="73">
        <v>780</v>
      </c>
      <c r="N13" s="73">
        <v>676</v>
      </c>
      <c r="O13" s="73">
        <v>521</v>
      </c>
      <c r="P13" s="73">
        <v>513</v>
      </c>
      <c r="Q13" s="73">
        <v>524</v>
      </c>
      <c r="R13" s="73">
        <v>506</v>
      </c>
      <c r="S13" s="73">
        <v>521</v>
      </c>
      <c r="T13" s="73">
        <v>453</v>
      </c>
      <c r="U13" s="73">
        <v>444</v>
      </c>
      <c r="V13" s="73">
        <v>460</v>
      </c>
      <c r="W13" s="73">
        <v>570</v>
      </c>
      <c r="X13" s="73">
        <v>511</v>
      </c>
      <c r="Y13" s="73">
        <v>544</v>
      </c>
      <c r="Z13" s="73">
        <v>395</v>
      </c>
      <c r="AA13" s="73">
        <v>418</v>
      </c>
      <c r="AB13" s="73">
        <v>425</v>
      </c>
      <c r="AC13" s="73">
        <f t="shared" si="0"/>
        <v>474.1</v>
      </c>
      <c r="AD13" s="73">
        <f t="shared" si="1"/>
        <v>503.66666666666669</v>
      </c>
      <c r="AE13" s="115"/>
      <c r="AF13" s="115"/>
      <c r="AG13" s="115"/>
      <c r="AH13" s="115"/>
      <c r="AI13" s="115"/>
      <c r="AJ13" s="115"/>
      <c r="AK13" s="115"/>
      <c r="AL13" s="115"/>
      <c r="AM13" s="115"/>
      <c r="AN13" s="115"/>
      <c r="AO13" s="115"/>
      <c r="AP13" s="115"/>
    </row>
    <row r="14" spans="1:42">
      <c r="A14" s="72" t="s">
        <v>314</v>
      </c>
      <c r="B14" s="1919"/>
      <c r="C14" s="73">
        <v>1284</v>
      </c>
      <c r="D14" s="73">
        <v>1258</v>
      </c>
      <c r="E14" s="73">
        <v>1044</v>
      </c>
      <c r="F14" s="73">
        <v>1287</v>
      </c>
      <c r="G14" s="73">
        <v>1055</v>
      </c>
      <c r="H14" s="73">
        <v>989</v>
      </c>
      <c r="I14" s="73">
        <v>1096</v>
      </c>
      <c r="J14" s="73">
        <v>863</v>
      </c>
      <c r="K14" s="73">
        <v>872</v>
      </c>
      <c r="L14" s="73">
        <v>818</v>
      </c>
      <c r="M14" s="73">
        <v>937</v>
      </c>
      <c r="N14" s="73">
        <v>747</v>
      </c>
      <c r="O14" s="73">
        <v>620</v>
      </c>
      <c r="P14" s="73">
        <v>567</v>
      </c>
      <c r="Q14" s="73">
        <v>602</v>
      </c>
      <c r="R14" s="73">
        <v>615</v>
      </c>
      <c r="S14" s="73">
        <v>505</v>
      </c>
      <c r="T14" s="73">
        <v>517</v>
      </c>
      <c r="U14" s="73">
        <v>431</v>
      </c>
      <c r="V14" s="73">
        <v>449</v>
      </c>
      <c r="W14" s="73">
        <v>442</v>
      </c>
      <c r="X14" s="73">
        <v>454</v>
      </c>
      <c r="Y14" s="73">
        <v>453</v>
      </c>
      <c r="Z14" s="73">
        <v>250</v>
      </c>
      <c r="AA14" s="73">
        <v>258</v>
      </c>
      <c r="AB14" s="73">
        <v>330</v>
      </c>
      <c r="AC14" s="73">
        <f t="shared" si="0"/>
        <v>408.9</v>
      </c>
      <c r="AD14" s="73">
        <f t="shared" si="1"/>
        <v>496.44444444444446</v>
      </c>
      <c r="AE14" s="115"/>
      <c r="AF14" s="115"/>
      <c r="AG14" s="115"/>
      <c r="AH14" s="115"/>
      <c r="AI14" s="115"/>
      <c r="AJ14" s="115"/>
      <c r="AK14" s="115"/>
      <c r="AL14" s="115"/>
      <c r="AM14" s="115"/>
      <c r="AN14" s="115"/>
      <c r="AO14" s="115"/>
      <c r="AP14" s="115"/>
    </row>
    <row r="15" spans="1:42" s="61" customFormat="1">
      <c r="A15" s="74" t="s">
        <v>203</v>
      </c>
      <c r="B15" s="74"/>
      <c r="C15" s="75">
        <f t="shared" ref="C15:AD15" si="2">SUM(C7:C14)</f>
        <v>9969</v>
      </c>
      <c r="D15" s="75">
        <f t="shared" si="2"/>
        <v>8840</v>
      </c>
      <c r="E15" s="75">
        <f t="shared" si="2"/>
        <v>7833</v>
      </c>
      <c r="F15" s="75">
        <f t="shared" si="2"/>
        <v>8435</v>
      </c>
      <c r="G15" s="75">
        <f t="shared" si="2"/>
        <v>8253</v>
      </c>
      <c r="H15" s="75">
        <f t="shared" si="2"/>
        <v>8236</v>
      </c>
      <c r="I15" s="75">
        <f t="shared" si="2"/>
        <v>7757</v>
      </c>
      <c r="J15" s="75">
        <f t="shared" si="2"/>
        <v>7882</v>
      </c>
      <c r="K15" s="75">
        <f t="shared" si="2"/>
        <v>7525</v>
      </c>
      <c r="L15" s="75">
        <f t="shared" si="2"/>
        <v>7665</v>
      </c>
      <c r="M15" s="75">
        <f t="shared" si="2"/>
        <v>7596</v>
      </c>
      <c r="N15" s="75">
        <f t="shared" si="2"/>
        <v>6446</v>
      </c>
      <c r="O15" s="75">
        <f t="shared" si="2"/>
        <v>4538</v>
      </c>
      <c r="P15" s="75">
        <f t="shared" si="2"/>
        <v>4436</v>
      </c>
      <c r="Q15" s="75">
        <f t="shared" si="2"/>
        <v>4611</v>
      </c>
      <c r="R15" s="75">
        <f t="shared" si="2"/>
        <v>4584</v>
      </c>
      <c r="S15" s="75">
        <f t="shared" si="2"/>
        <v>4388</v>
      </c>
      <c r="T15" s="75">
        <f t="shared" si="2"/>
        <v>3956</v>
      </c>
      <c r="U15" s="75">
        <f t="shared" si="2"/>
        <v>3940</v>
      </c>
      <c r="V15" s="75">
        <f t="shared" si="2"/>
        <v>4165</v>
      </c>
      <c r="W15" s="75">
        <f t="shared" si="2"/>
        <v>4549</v>
      </c>
      <c r="X15" s="75">
        <f t="shared" si="2"/>
        <v>4939</v>
      </c>
      <c r="Y15" s="75">
        <f t="shared" si="2"/>
        <v>4913</v>
      </c>
      <c r="Z15" s="75">
        <f t="shared" si="2"/>
        <v>2755</v>
      </c>
      <c r="AA15" s="75">
        <f t="shared" si="2"/>
        <v>2520</v>
      </c>
      <c r="AB15" s="75">
        <f t="shared" si="2"/>
        <v>3049</v>
      </c>
      <c r="AC15" s="75">
        <f t="shared" si="2"/>
        <v>3917.4</v>
      </c>
      <c r="AD15" s="75">
        <f t="shared" si="2"/>
        <v>4449.4444444444443</v>
      </c>
      <c r="AE15" s="116"/>
      <c r="AF15" s="116"/>
      <c r="AG15" s="116"/>
      <c r="AH15" s="116"/>
      <c r="AI15" s="116"/>
      <c r="AJ15" s="116"/>
      <c r="AK15" s="116"/>
      <c r="AL15" s="116"/>
      <c r="AM15" s="116"/>
      <c r="AN15" s="116"/>
      <c r="AO15" s="116"/>
      <c r="AP15" s="116"/>
    </row>
    <row r="16" spans="1:42" ht="15">
      <c r="C16" s="65"/>
      <c r="D16" s="65"/>
      <c r="E16" s="65"/>
      <c r="F16" s="65"/>
      <c r="G16" s="65"/>
      <c r="H16" s="65"/>
      <c r="I16" s="65"/>
      <c r="J16" s="65"/>
      <c r="K16" s="65"/>
      <c r="L16" s="65"/>
      <c r="M16" s="65"/>
      <c r="N16" s="65"/>
      <c r="O16" s="65"/>
      <c r="P16" s="65"/>
      <c r="Q16" s="65"/>
      <c r="R16" s="65"/>
      <c r="S16" s="65"/>
      <c r="T16" s="65"/>
      <c r="U16" s="65"/>
      <c r="V16" s="65"/>
      <c r="W16" s="65"/>
      <c r="X16" s="65"/>
      <c r="Y16" s="65"/>
      <c r="Z16" s="65"/>
      <c r="AA16" s="65"/>
      <c r="AB16" s="65"/>
    </row>
    <row r="17" spans="1:42">
      <c r="A17" s="71">
        <v>2</v>
      </c>
      <c r="B17" s="71" t="s">
        <v>494</v>
      </c>
      <c r="C17" s="1910" t="s">
        <v>322</v>
      </c>
      <c r="D17" s="1910"/>
      <c r="E17" s="1910"/>
      <c r="F17" s="1910"/>
      <c r="G17" s="1910"/>
      <c r="H17" s="1910"/>
      <c r="I17" s="1910"/>
      <c r="J17" s="1910"/>
      <c r="K17" s="1910"/>
      <c r="L17" s="1910"/>
      <c r="M17" s="1910"/>
      <c r="N17" s="1910"/>
      <c r="O17" s="1910"/>
      <c r="P17" s="1910"/>
      <c r="Q17" s="1910"/>
      <c r="R17" s="1910"/>
      <c r="S17" s="1910"/>
      <c r="T17" s="1910"/>
      <c r="U17" s="1910"/>
      <c r="V17" s="1910"/>
      <c r="W17" s="1910"/>
      <c r="X17" s="1910"/>
      <c r="Y17" s="1910"/>
      <c r="Z17" s="1910"/>
      <c r="AA17" s="1910"/>
      <c r="AB17" s="1910"/>
      <c r="AC17" s="86"/>
      <c r="AD17" s="86"/>
      <c r="AE17" s="115"/>
      <c r="AF17" s="115"/>
      <c r="AG17" s="115"/>
      <c r="AH17" s="115"/>
      <c r="AI17" s="115"/>
      <c r="AJ17" s="115"/>
      <c r="AK17" s="115"/>
      <c r="AL17" s="115"/>
      <c r="AM17" s="115"/>
      <c r="AN17" s="115"/>
      <c r="AO17" s="115"/>
      <c r="AP17" s="115"/>
    </row>
    <row r="18" spans="1:42">
      <c r="A18" s="71"/>
      <c r="B18" s="71"/>
      <c r="C18" s="72" t="s">
        <v>284</v>
      </c>
      <c r="D18" s="72" t="s">
        <v>285</v>
      </c>
      <c r="E18" s="72" t="s">
        <v>286</v>
      </c>
      <c r="F18" s="72" t="s">
        <v>287</v>
      </c>
      <c r="G18" s="72" t="s">
        <v>288</v>
      </c>
      <c r="H18" s="72" t="s">
        <v>289</v>
      </c>
      <c r="I18" s="72" t="s">
        <v>290</v>
      </c>
      <c r="J18" s="72" t="s">
        <v>291</v>
      </c>
      <c r="K18" s="72" t="s">
        <v>292</v>
      </c>
      <c r="L18" s="72" t="s">
        <v>293</v>
      </c>
      <c r="M18" s="72" t="s">
        <v>294</v>
      </c>
      <c r="N18" s="72" t="s">
        <v>295</v>
      </c>
      <c r="O18" s="72" t="s">
        <v>296</v>
      </c>
      <c r="P18" s="72" t="s">
        <v>297</v>
      </c>
      <c r="Q18" s="72" t="s">
        <v>298</v>
      </c>
      <c r="R18" s="72" t="s">
        <v>299</v>
      </c>
      <c r="S18" s="72" t="s">
        <v>300</v>
      </c>
      <c r="T18" s="72" t="s">
        <v>301</v>
      </c>
      <c r="U18" s="72" t="s">
        <v>302</v>
      </c>
      <c r="V18" s="72" t="s">
        <v>303</v>
      </c>
      <c r="W18" s="72" t="s">
        <v>304</v>
      </c>
      <c r="X18" s="72" t="s">
        <v>305</v>
      </c>
      <c r="Y18" s="72" t="s">
        <v>306</v>
      </c>
      <c r="Z18" s="72" t="s">
        <v>307</v>
      </c>
      <c r="AA18" s="72" t="s">
        <v>308</v>
      </c>
      <c r="AB18" s="72" t="s">
        <v>309</v>
      </c>
      <c r="AC18" s="72" t="s">
        <v>351</v>
      </c>
      <c r="AD18" s="72" t="s">
        <v>352</v>
      </c>
      <c r="AE18" s="72" t="s">
        <v>340</v>
      </c>
      <c r="AF18" s="72" t="s">
        <v>341</v>
      </c>
      <c r="AG18" s="72" t="s">
        <v>342</v>
      </c>
      <c r="AH18" s="72" t="s">
        <v>343</v>
      </c>
      <c r="AI18" s="72" t="s">
        <v>344</v>
      </c>
      <c r="AJ18" s="72" t="s">
        <v>345</v>
      </c>
      <c r="AK18" s="72" t="s">
        <v>346</v>
      </c>
      <c r="AL18" s="72" t="s">
        <v>347</v>
      </c>
      <c r="AM18" s="72" t="s">
        <v>348</v>
      </c>
      <c r="AN18" s="72" t="s">
        <v>349</v>
      </c>
      <c r="AO18" s="72" t="s">
        <v>350</v>
      </c>
      <c r="AP18" s="72" t="s">
        <v>353</v>
      </c>
    </row>
    <row r="19" spans="1:42">
      <c r="A19" s="72" t="s">
        <v>315</v>
      </c>
      <c r="B19" s="1917" t="s">
        <v>339</v>
      </c>
      <c r="C19" s="79">
        <f t="shared" ref="C19:AB19" si="3">C7*1000000</f>
        <v>1696000000</v>
      </c>
      <c r="D19" s="79">
        <f t="shared" si="3"/>
        <v>1321000000</v>
      </c>
      <c r="E19" s="79">
        <f t="shared" si="3"/>
        <v>1209000000</v>
      </c>
      <c r="F19" s="79">
        <f t="shared" si="3"/>
        <v>1375000000</v>
      </c>
      <c r="G19" s="79">
        <f t="shared" si="3"/>
        <v>1307000000</v>
      </c>
      <c r="H19" s="79">
        <f t="shared" si="3"/>
        <v>1136000000</v>
      </c>
      <c r="I19" s="79">
        <f t="shared" si="3"/>
        <v>1082000000</v>
      </c>
      <c r="J19" s="79">
        <f t="shared" si="3"/>
        <v>1159000000</v>
      </c>
      <c r="K19" s="79">
        <f t="shared" si="3"/>
        <v>1193000000</v>
      </c>
      <c r="L19" s="79">
        <f t="shared" si="3"/>
        <v>1232000000</v>
      </c>
      <c r="M19" s="79">
        <f t="shared" si="3"/>
        <v>1208000000</v>
      </c>
      <c r="N19" s="79">
        <f t="shared" si="3"/>
        <v>954000000</v>
      </c>
      <c r="O19" s="79">
        <f t="shared" si="3"/>
        <v>567000000</v>
      </c>
      <c r="P19" s="79">
        <f t="shared" si="3"/>
        <v>578000000</v>
      </c>
      <c r="Q19" s="79">
        <f t="shared" si="3"/>
        <v>603000000</v>
      </c>
      <c r="R19" s="79">
        <f t="shared" si="3"/>
        <v>606000000</v>
      </c>
      <c r="S19" s="79">
        <f t="shared" si="3"/>
        <v>588000000</v>
      </c>
      <c r="T19" s="79">
        <f t="shared" si="3"/>
        <v>553000000</v>
      </c>
      <c r="U19" s="79">
        <f t="shared" si="3"/>
        <v>521000000</v>
      </c>
      <c r="V19" s="79">
        <f t="shared" si="3"/>
        <v>499000000</v>
      </c>
      <c r="W19" s="79">
        <f t="shared" si="3"/>
        <v>494000000</v>
      </c>
      <c r="X19" s="79">
        <f t="shared" si="3"/>
        <v>489000000</v>
      </c>
      <c r="Y19" s="79">
        <f t="shared" si="3"/>
        <v>472000000</v>
      </c>
      <c r="Z19" s="79">
        <f t="shared" si="3"/>
        <v>283000000</v>
      </c>
      <c r="AA19" s="79">
        <f t="shared" si="3"/>
        <v>256000000</v>
      </c>
      <c r="AB19" s="79">
        <f t="shared" si="3"/>
        <v>346000000</v>
      </c>
      <c r="AC19" s="73">
        <f t="shared" ref="AC19:AC26" si="4">AVERAGE(S19:AB19)</f>
        <v>450100000</v>
      </c>
      <c r="AD19" s="73">
        <f t="shared" ref="AD19:AD26" si="5">AVERAGE(Q19:Y19)</f>
        <v>536111111.1111111</v>
      </c>
      <c r="AE19" s="115"/>
      <c r="AF19" s="115"/>
      <c r="AG19" s="115"/>
      <c r="AH19" s="115"/>
      <c r="AI19" s="115"/>
      <c r="AJ19" s="115"/>
      <c r="AK19" s="115"/>
      <c r="AL19" s="115"/>
      <c r="AM19" s="115"/>
      <c r="AN19" s="115"/>
      <c r="AO19" s="115"/>
      <c r="AP19" s="115"/>
    </row>
    <row r="20" spans="1:42">
      <c r="A20" s="72" t="s">
        <v>310</v>
      </c>
      <c r="B20" s="1918"/>
      <c r="C20" s="79">
        <f t="shared" ref="C20:AB20" si="6">C8*1000000</f>
        <v>639000000</v>
      </c>
      <c r="D20" s="79">
        <f t="shared" si="6"/>
        <v>536000000</v>
      </c>
      <c r="E20" s="79">
        <f t="shared" si="6"/>
        <v>501000000</v>
      </c>
      <c r="F20" s="79">
        <f t="shared" si="6"/>
        <v>529000000</v>
      </c>
      <c r="G20" s="79">
        <f t="shared" si="6"/>
        <v>566000000</v>
      </c>
      <c r="H20" s="79">
        <f t="shared" si="6"/>
        <v>820000000</v>
      </c>
      <c r="I20" s="79">
        <f t="shared" si="6"/>
        <v>483000000</v>
      </c>
      <c r="J20" s="79">
        <f t="shared" si="6"/>
        <v>511000000</v>
      </c>
      <c r="K20" s="79">
        <f t="shared" si="6"/>
        <v>469000000</v>
      </c>
      <c r="L20" s="79">
        <f t="shared" si="6"/>
        <v>479000000</v>
      </c>
      <c r="M20" s="79">
        <f t="shared" si="6"/>
        <v>478000000</v>
      </c>
      <c r="N20" s="79">
        <f t="shared" si="6"/>
        <v>449000000</v>
      </c>
      <c r="O20" s="79">
        <f t="shared" si="6"/>
        <v>360000000</v>
      </c>
      <c r="P20" s="79">
        <f t="shared" si="6"/>
        <v>364000000</v>
      </c>
      <c r="Q20" s="79">
        <f t="shared" si="6"/>
        <v>411000000</v>
      </c>
      <c r="R20" s="79">
        <f t="shared" si="6"/>
        <v>427000000</v>
      </c>
      <c r="S20" s="79">
        <f t="shared" si="6"/>
        <v>453000000</v>
      </c>
      <c r="T20" s="79">
        <f t="shared" si="6"/>
        <v>317000000</v>
      </c>
      <c r="U20" s="79">
        <f t="shared" si="6"/>
        <v>464000000</v>
      </c>
      <c r="V20" s="79">
        <f t="shared" si="6"/>
        <v>767000000</v>
      </c>
      <c r="W20" s="79">
        <f t="shared" si="6"/>
        <v>1128000000</v>
      </c>
      <c r="X20" s="79">
        <f t="shared" si="6"/>
        <v>1503000000</v>
      </c>
      <c r="Y20" s="79">
        <f t="shared" si="6"/>
        <v>1551000000</v>
      </c>
      <c r="Z20" s="79">
        <f t="shared" si="6"/>
        <v>685000000</v>
      </c>
      <c r="AA20" s="79">
        <f t="shared" si="6"/>
        <v>494000000</v>
      </c>
      <c r="AB20" s="79">
        <f t="shared" si="6"/>
        <v>595000000</v>
      </c>
      <c r="AC20" s="73">
        <f t="shared" si="4"/>
        <v>795700000</v>
      </c>
      <c r="AD20" s="73">
        <f t="shared" si="5"/>
        <v>780111111.11111116</v>
      </c>
      <c r="AE20" s="115"/>
      <c r="AF20" s="115"/>
      <c r="AG20" s="115"/>
      <c r="AH20" s="115"/>
      <c r="AI20" s="115"/>
      <c r="AJ20" s="115"/>
      <c r="AK20" s="115"/>
      <c r="AL20" s="115"/>
      <c r="AM20" s="115"/>
      <c r="AN20" s="115"/>
      <c r="AO20" s="115"/>
      <c r="AP20" s="115"/>
    </row>
    <row r="21" spans="1:42">
      <c r="A21" s="72" t="s">
        <v>317</v>
      </c>
      <c r="B21" s="1918"/>
      <c r="C21" s="79">
        <f t="shared" ref="C21:AB21" si="7">C9*1000000</f>
        <v>1483000000</v>
      </c>
      <c r="D21" s="79">
        <f t="shared" si="7"/>
        <v>1298000000</v>
      </c>
      <c r="E21" s="79">
        <f t="shared" si="7"/>
        <v>1108000000</v>
      </c>
      <c r="F21" s="79">
        <f t="shared" si="7"/>
        <v>1052000000</v>
      </c>
      <c r="G21" s="79">
        <f t="shared" si="7"/>
        <v>1083000000</v>
      </c>
      <c r="H21" s="79">
        <f t="shared" si="7"/>
        <v>988000000</v>
      </c>
      <c r="I21" s="79">
        <f t="shared" si="7"/>
        <v>1073000000</v>
      </c>
      <c r="J21" s="79">
        <f t="shared" si="7"/>
        <v>914000000</v>
      </c>
      <c r="K21" s="79">
        <f t="shared" si="7"/>
        <v>942000000</v>
      </c>
      <c r="L21" s="79">
        <f t="shared" si="7"/>
        <v>950000000</v>
      </c>
      <c r="M21" s="79">
        <f t="shared" si="7"/>
        <v>952000000</v>
      </c>
      <c r="N21" s="79">
        <f t="shared" si="7"/>
        <v>836000000</v>
      </c>
      <c r="O21" s="79">
        <f t="shared" si="7"/>
        <v>501000000</v>
      </c>
      <c r="P21" s="79">
        <f t="shared" si="7"/>
        <v>457000000</v>
      </c>
      <c r="Q21" s="79">
        <f t="shared" si="7"/>
        <v>528000000</v>
      </c>
      <c r="R21" s="79">
        <f t="shared" si="7"/>
        <v>516000000</v>
      </c>
      <c r="S21" s="79">
        <f t="shared" si="7"/>
        <v>506000000</v>
      </c>
      <c r="T21" s="79">
        <f t="shared" si="7"/>
        <v>421000000</v>
      </c>
      <c r="U21" s="79">
        <f t="shared" si="7"/>
        <v>450000000</v>
      </c>
      <c r="V21" s="79">
        <f t="shared" si="7"/>
        <v>415000000</v>
      </c>
      <c r="W21" s="79">
        <f t="shared" si="7"/>
        <v>400000000</v>
      </c>
      <c r="X21" s="79">
        <f t="shared" si="7"/>
        <v>383000000</v>
      </c>
      <c r="Y21" s="79">
        <f t="shared" si="7"/>
        <v>389000000</v>
      </c>
      <c r="Z21" s="79">
        <f t="shared" si="7"/>
        <v>227000000</v>
      </c>
      <c r="AA21" s="79">
        <f t="shared" si="7"/>
        <v>206000000</v>
      </c>
      <c r="AB21" s="79">
        <f t="shared" si="7"/>
        <v>293000000</v>
      </c>
      <c r="AC21" s="73">
        <f t="shared" si="4"/>
        <v>369000000</v>
      </c>
      <c r="AD21" s="73">
        <f t="shared" si="5"/>
        <v>445333333.33333331</v>
      </c>
      <c r="AE21" s="115"/>
      <c r="AF21" s="115"/>
      <c r="AG21" s="115"/>
      <c r="AH21" s="115"/>
      <c r="AI21" s="115"/>
      <c r="AJ21" s="115"/>
      <c r="AK21" s="115"/>
      <c r="AL21" s="115"/>
      <c r="AM21" s="115"/>
      <c r="AN21" s="115"/>
      <c r="AO21" s="115"/>
      <c r="AP21" s="115"/>
    </row>
    <row r="22" spans="1:42">
      <c r="A22" s="72" t="s">
        <v>313</v>
      </c>
      <c r="B22" s="1918"/>
      <c r="C22" s="79">
        <f t="shared" ref="C22:AB22" si="8">C10*1000000</f>
        <v>1317000000</v>
      </c>
      <c r="D22" s="79">
        <f t="shared" si="8"/>
        <v>1222000000</v>
      </c>
      <c r="E22" s="79">
        <f t="shared" si="8"/>
        <v>1082000000</v>
      </c>
      <c r="F22" s="79">
        <f t="shared" si="8"/>
        <v>1076000000</v>
      </c>
      <c r="G22" s="79">
        <f t="shared" si="8"/>
        <v>1316000000</v>
      </c>
      <c r="H22" s="79">
        <f t="shared" si="8"/>
        <v>1411000000</v>
      </c>
      <c r="I22" s="79">
        <f t="shared" si="8"/>
        <v>1289000000</v>
      </c>
      <c r="J22" s="79">
        <f t="shared" si="8"/>
        <v>1271000000</v>
      </c>
      <c r="K22" s="79">
        <f t="shared" si="8"/>
        <v>1192000000</v>
      </c>
      <c r="L22" s="79">
        <f t="shared" si="8"/>
        <v>1267000000</v>
      </c>
      <c r="M22" s="79">
        <f t="shared" si="8"/>
        <v>1212000000</v>
      </c>
      <c r="N22" s="79">
        <f t="shared" si="8"/>
        <v>997000000</v>
      </c>
      <c r="O22" s="79">
        <f t="shared" si="8"/>
        <v>785000000</v>
      </c>
      <c r="P22" s="79">
        <f t="shared" si="8"/>
        <v>723000000</v>
      </c>
      <c r="Q22" s="79">
        <f t="shared" si="8"/>
        <v>748000000</v>
      </c>
      <c r="R22" s="79">
        <f t="shared" si="8"/>
        <v>712000000</v>
      </c>
      <c r="S22" s="79">
        <f t="shared" si="8"/>
        <v>710000000</v>
      </c>
      <c r="T22" s="79">
        <f t="shared" si="8"/>
        <v>628000000</v>
      </c>
      <c r="U22" s="79">
        <f t="shared" si="8"/>
        <v>612000000</v>
      </c>
      <c r="V22" s="79">
        <f t="shared" si="8"/>
        <v>588000000</v>
      </c>
      <c r="W22" s="79">
        <f t="shared" si="8"/>
        <v>529000000</v>
      </c>
      <c r="X22" s="79">
        <f t="shared" si="8"/>
        <v>621000000</v>
      </c>
      <c r="Y22" s="79">
        <f t="shared" si="8"/>
        <v>526000000</v>
      </c>
      <c r="Z22" s="79">
        <f t="shared" si="8"/>
        <v>351000000</v>
      </c>
      <c r="AA22" s="79">
        <f t="shared" si="8"/>
        <v>350000000</v>
      </c>
      <c r="AB22" s="79">
        <f t="shared" si="8"/>
        <v>369000000</v>
      </c>
      <c r="AC22" s="73">
        <f t="shared" si="4"/>
        <v>528400000</v>
      </c>
      <c r="AD22" s="73">
        <f t="shared" si="5"/>
        <v>630444444.44444442</v>
      </c>
      <c r="AE22" s="115"/>
      <c r="AF22" s="115"/>
      <c r="AG22" s="115"/>
      <c r="AH22" s="115"/>
      <c r="AI22" s="115"/>
      <c r="AJ22" s="115"/>
      <c r="AK22" s="115"/>
      <c r="AL22" s="115"/>
      <c r="AM22" s="115"/>
      <c r="AN22" s="115"/>
      <c r="AO22" s="115"/>
      <c r="AP22" s="115"/>
    </row>
    <row r="23" spans="1:42">
      <c r="A23" s="72" t="s">
        <v>316</v>
      </c>
      <c r="B23" s="1918"/>
      <c r="C23" s="79">
        <f t="shared" ref="C23:AB23" si="9">C11*1000000</f>
        <v>1305000000</v>
      </c>
      <c r="D23" s="79">
        <f t="shared" si="9"/>
        <v>1168000000</v>
      </c>
      <c r="E23" s="79">
        <f t="shared" si="9"/>
        <v>1142000000</v>
      </c>
      <c r="F23" s="79">
        <f t="shared" si="9"/>
        <v>1286000000</v>
      </c>
      <c r="G23" s="79">
        <f t="shared" si="9"/>
        <v>1205000000</v>
      </c>
      <c r="H23" s="79">
        <f t="shared" si="9"/>
        <v>1202000000</v>
      </c>
      <c r="I23" s="79">
        <f t="shared" si="9"/>
        <v>1135000000</v>
      </c>
      <c r="J23" s="79">
        <f t="shared" si="9"/>
        <v>1497000000</v>
      </c>
      <c r="K23" s="79">
        <f t="shared" si="9"/>
        <v>1163000000</v>
      </c>
      <c r="L23" s="79">
        <f t="shared" si="9"/>
        <v>1177000000</v>
      </c>
      <c r="M23" s="79">
        <f t="shared" si="9"/>
        <v>945000000</v>
      </c>
      <c r="N23" s="79">
        <f t="shared" si="9"/>
        <v>1081000000</v>
      </c>
      <c r="O23" s="79">
        <f t="shared" si="9"/>
        <v>598000000</v>
      </c>
      <c r="P23" s="79">
        <f t="shared" si="9"/>
        <v>568000000</v>
      </c>
      <c r="Q23" s="79">
        <f t="shared" si="9"/>
        <v>550000000</v>
      </c>
      <c r="R23" s="79">
        <f t="shared" si="9"/>
        <v>536000000</v>
      </c>
      <c r="S23" s="79">
        <f t="shared" si="9"/>
        <v>524000000</v>
      </c>
      <c r="T23" s="79">
        <f t="shared" si="9"/>
        <v>510000000</v>
      </c>
      <c r="U23" s="79">
        <f t="shared" si="9"/>
        <v>465000000</v>
      </c>
      <c r="V23" s="79">
        <f t="shared" si="9"/>
        <v>447000000</v>
      </c>
      <c r="W23" s="79">
        <f t="shared" si="9"/>
        <v>439000000</v>
      </c>
      <c r="X23" s="79">
        <f t="shared" si="9"/>
        <v>432000000</v>
      </c>
      <c r="Y23" s="79">
        <f t="shared" si="9"/>
        <v>428000000</v>
      </c>
      <c r="Z23" s="79">
        <f t="shared" si="9"/>
        <v>263000000</v>
      </c>
      <c r="AA23" s="79">
        <f t="shared" si="9"/>
        <v>234000000</v>
      </c>
      <c r="AB23" s="79">
        <f t="shared" si="9"/>
        <v>313000000</v>
      </c>
      <c r="AC23" s="73">
        <f t="shared" si="4"/>
        <v>405500000</v>
      </c>
      <c r="AD23" s="73">
        <f t="shared" si="5"/>
        <v>481222222.22222221</v>
      </c>
      <c r="AE23" s="115"/>
      <c r="AF23" s="115"/>
      <c r="AG23" s="115"/>
      <c r="AH23" s="115"/>
      <c r="AI23" s="115"/>
      <c r="AJ23" s="115"/>
      <c r="AK23" s="115"/>
      <c r="AL23" s="115"/>
      <c r="AM23" s="115"/>
      <c r="AN23" s="115"/>
      <c r="AO23" s="115"/>
      <c r="AP23" s="115"/>
    </row>
    <row r="24" spans="1:42">
      <c r="A24" s="72" t="s">
        <v>312</v>
      </c>
      <c r="B24" s="1918"/>
      <c r="C24" s="79">
        <f t="shared" ref="C24:AB24" si="10">C12*1000000</f>
        <v>1275000000</v>
      </c>
      <c r="D24" s="79">
        <f t="shared" si="10"/>
        <v>1030000000</v>
      </c>
      <c r="E24" s="79">
        <f t="shared" si="10"/>
        <v>913000000</v>
      </c>
      <c r="F24" s="79">
        <f t="shared" si="10"/>
        <v>994000000</v>
      </c>
      <c r="G24" s="79">
        <f t="shared" si="10"/>
        <v>992000000</v>
      </c>
      <c r="H24" s="79">
        <f t="shared" si="10"/>
        <v>974000000</v>
      </c>
      <c r="I24" s="79">
        <f t="shared" si="10"/>
        <v>934000000</v>
      </c>
      <c r="J24" s="79">
        <f t="shared" si="10"/>
        <v>1006000000</v>
      </c>
      <c r="K24" s="79">
        <f t="shared" si="10"/>
        <v>1019000000</v>
      </c>
      <c r="L24" s="79">
        <f t="shared" si="10"/>
        <v>971000000</v>
      </c>
      <c r="M24" s="79">
        <f t="shared" si="10"/>
        <v>1084000000</v>
      </c>
      <c r="N24" s="79">
        <f t="shared" si="10"/>
        <v>706000000</v>
      </c>
      <c r="O24" s="79">
        <f t="shared" si="10"/>
        <v>586000000</v>
      </c>
      <c r="P24" s="79">
        <f t="shared" si="10"/>
        <v>666000000</v>
      </c>
      <c r="Q24" s="79">
        <f t="shared" si="10"/>
        <v>645000000</v>
      </c>
      <c r="R24" s="79">
        <f t="shared" si="10"/>
        <v>666000000</v>
      </c>
      <c r="S24" s="79">
        <f t="shared" si="10"/>
        <v>581000000</v>
      </c>
      <c r="T24" s="79">
        <f t="shared" si="10"/>
        <v>557000000</v>
      </c>
      <c r="U24" s="79">
        <f t="shared" si="10"/>
        <v>553000000</v>
      </c>
      <c r="V24" s="79">
        <f t="shared" si="10"/>
        <v>540000000</v>
      </c>
      <c r="W24" s="79">
        <f t="shared" si="10"/>
        <v>547000000</v>
      </c>
      <c r="X24" s="79">
        <f t="shared" si="10"/>
        <v>546000000</v>
      </c>
      <c r="Y24" s="79">
        <f t="shared" si="10"/>
        <v>550000000</v>
      </c>
      <c r="Z24" s="79">
        <f t="shared" si="10"/>
        <v>301000000</v>
      </c>
      <c r="AA24" s="79">
        <f t="shared" si="10"/>
        <v>304000000</v>
      </c>
      <c r="AB24" s="79">
        <f t="shared" si="10"/>
        <v>378000000</v>
      </c>
      <c r="AC24" s="73">
        <f t="shared" si="4"/>
        <v>485700000</v>
      </c>
      <c r="AD24" s="73">
        <f t="shared" si="5"/>
        <v>576111111.11111116</v>
      </c>
      <c r="AE24" s="115"/>
      <c r="AF24" s="115"/>
      <c r="AG24" s="115"/>
      <c r="AH24" s="115"/>
      <c r="AI24" s="115"/>
      <c r="AJ24" s="115"/>
      <c r="AK24" s="115"/>
      <c r="AL24" s="115"/>
      <c r="AM24" s="115"/>
      <c r="AN24" s="115"/>
      <c r="AO24" s="115"/>
      <c r="AP24" s="115"/>
    </row>
    <row r="25" spans="1:42">
      <c r="A25" s="72" t="s">
        <v>311</v>
      </c>
      <c r="B25" s="1918"/>
      <c r="C25" s="79">
        <f t="shared" ref="C25:AB25" si="11">C13*1000000</f>
        <v>970000000</v>
      </c>
      <c r="D25" s="79">
        <f t="shared" si="11"/>
        <v>1007000000</v>
      </c>
      <c r="E25" s="79">
        <f t="shared" si="11"/>
        <v>834000000</v>
      </c>
      <c r="F25" s="79">
        <f t="shared" si="11"/>
        <v>836000000</v>
      </c>
      <c r="G25" s="79">
        <f t="shared" si="11"/>
        <v>729000000</v>
      </c>
      <c r="H25" s="79">
        <f t="shared" si="11"/>
        <v>716000000</v>
      </c>
      <c r="I25" s="79">
        <f t="shared" si="11"/>
        <v>665000000</v>
      </c>
      <c r="J25" s="79">
        <f t="shared" si="11"/>
        <v>661000000</v>
      </c>
      <c r="K25" s="79">
        <f t="shared" si="11"/>
        <v>675000000</v>
      </c>
      <c r="L25" s="79">
        <f t="shared" si="11"/>
        <v>771000000</v>
      </c>
      <c r="M25" s="79">
        <f t="shared" si="11"/>
        <v>780000000</v>
      </c>
      <c r="N25" s="79">
        <f t="shared" si="11"/>
        <v>676000000</v>
      </c>
      <c r="O25" s="79">
        <f t="shared" si="11"/>
        <v>521000000</v>
      </c>
      <c r="P25" s="79">
        <f t="shared" si="11"/>
        <v>513000000</v>
      </c>
      <c r="Q25" s="79">
        <f t="shared" si="11"/>
        <v>524000000</v>
      </c>
      <c r="R25" s="79">
        <f t="shared" si="11"/>
        <v>506000000</v>
      </c>
      <c r="S25" s="79">
        <f t="shared" si="11"/>
        <v>521000000</v>
      </c>
      <c r="T25" s="79">
        <f t="shared" si="11"/>
        <v>453000000</v>
      </c>
      <c r="U25" s="79">
        <f t="shared" si="11"/>
        <v>444000000</v>
      </c>
      <c r="V25" s="79">
        <f t="shared" si="11"/>
        <v>460000000</v>
      </c>
      <c r="W25" s="79">
        <f t="shared" si="11"/>
        <v>570000000</v>
      </c>
      <c r="X25" s="79">
        <f t="shared" si="11"/>
        <v>511000000</v>
      </c>
      <c r="Y25" s="79">
        <f t="shared" si="11"/>
        <v>544000000</v>
      </c>
      <c r="Z25" s="79">
        <f t="shared" si="11"/>
        <v>395000000</v>
      </c>
      <c r="AA25" s="79">
        <f t="shared" si="11"/>
        <v>418000000</v>
      </c>
      <c r="AB25" s="79">
        <f t="shared" si="11"/>
        <v>425000000</v>
      </c>
      <c r="AC25" s="73">
        <f t="shared" si="4"/>
        <v>474100000</v>
      </c>
      <c r="AD25" s="73">
        <f t="shared" si="5"/>
        <v>503666666.66666669</v>
      </c>
      <c r="AE25" s="115"/>
      <c r="AF25" s="115"/>
      <c r="AG25" s="115"/>
      <c r="AH25" s="115"/>
      <c r="AI25" s="115"/>
      <c r="AJ25" s="115"/>
      <c r="AK25" s="115"/>
      <c r="AL25" s="115"/>
      <c r="AM25" s="115"/>
      <c r="AN25" s="115"/>
      <c r="AO25" s="115"/>
      <c r="AP25" s="115"/>
    </row>
    <row r="26" spans="1:42">
      <c r="A26" s="72" t="s">
        <v>314</v>
      </c>
      <c r="B26" s="1919"/>
      <c r="C26" s="79">
        <f t="shared" ref="C26:AB26" si="12">C14*1000000</f>
        <v>1284000000</v>
      </c>
      <c r="D26" s="79">
        <f t="shared" si="12"/>
        <v>1258000000</v>
      </c>
      <c r="E26" s="79">
        <f t="shared" si="12"/>
        <v>1044000000</v>
      </c>
      <c r="F26" s="79">
        <f t="shared" si="12"/>
        <v>1287000000</v>
      </c>
      <c r="G26" s="79">
        <f t="shared" si="12"/>
        <v>1055000000</v>
      </c>
      <c r="H26" s="79">
        <f t="shared" si="12"/>
        <v>989000000</v>
      </c>
      <c r="I26" s="79">
        <f t="shared" si="12"/>
        <v>1096000000</v>
      </c>
      <c r="J26" s="79">
        <f t="shared" si="12"/>
        <v>863000000</v>
      </c>
      <c r="K26" s="79">
        <f t="shared" si="12"/>
        <v>872000000</v>
      </c>
      <c r="L26" s="79">
        <f t="shared" si="12"/>
        <v>818000000</v>
      </c>
      <c r="M26" s="79">
        <f t="shared" si="12"/>
        <v>937000000</v>
      </c>
      <c r="N26" s="79">
        <f t="shared" si="12"/>
        <v>747000000</v>
      </c>
      <c r="O26" s="79">
        <f t="shared" si="12"/>
        <v>620000000</v>
      </c>
      <c r="P26" s="79">
        <f t="shared" si="12"/>
        <v>567000000</v>
      </c>
      <c r="Q26" s="79">
        <f t="shared" si="12"/>
        <v>602000000</v>
      </c>
      <c r="R26" s="79">
        <f t="shared" si="12"/>
        <v>615000000</v>
      </c>
      <c r="S26" s="79">
        <f t="shared" si="12"/>
        <v>505000000</v>
      </c>
      <c r="T26" s="79">
        <f t="shared" si="12"/>
        <v>517000000</v>
      </c>
      <c r="U26" s="79">
        <f t="shared" si="12"/>
        <v>431000000</v>
      </c>
      <c r="V26" s="79">
        <f t="shared" si="12"/>
        <v>449000000</v>
      </c>
      <c r="W26" s="79">
        <f t="shared" si="12"/>
        <v>442000000</v>
      </c>
      <c r="X26" s="79">
        <f t="shared" si="12"/>
        <v>454000000</v>
      </c>
      <c r="Y26" s="79">
        <f t="shared" si="12"/>
        <v>453000000</v>
      </c>
      <c r="Z26" s="79">
        <f t="shared" si="12"/>
        <v>250000000</v>
      </c>
      <c r="AA26" s="79">
        <f t="shared" si="12"/>
        <v>258000000</v>
      </c>
      <c r="AB26" s="79">
        <f t="shared" si="12"/>
        <v>330000000</v>
      </c>
      <c r="AC26" s="73">
        <f t="shared" si="4"/>
        <v>408900000</v>
      </c>
      <c r="AD26" s="73">
        <f t="shared" si="5"/>
        <v>496444444.44444442</v>
      </c>
      <c r="AE26" s="115"/>
      <c r="AF26" s="115"/>
      <c r="AG26" s="115"/>
      <c r="AH26" s="115"/>
      <c r="AI26" s="115"/>
      <c r="AJ26" s="115"/>
      <c r="AK26" s="115"/>
      <c r="AL26" s="115"/>
      <c r="AM26" s="115"/>
      <c r="AN26" s="115"/>
      <c r="AO26" s="115"/>
      <c r="AP26" s="115"/>
    </row>
    <row r="27" spans="1:42" s="61" customFormat="1">
      <c r="A27" s="74" t="s">
        <v>203</v>
      </c>
      <c r="B27" s="74"/>
      <c r="C27" s="80">
        <f t="shared" ref="C27:AD27" si="13">SUM(C19:C26)</f>
        <v>9969000000</v>
      </c>
      <c r="D27" s="80">
        <f t="shared" si="13"/>
        <v>8840000000</v>
      </c>
      <c r="E27" s="80">
        <f t="shared" si="13"/>
        <v>7833000000</v>
      </c>
      <c r="F27" s="80">
        <f t="shared" si="13"/>
        <v>8435000000</v>
      </c>
      <c r="G27" s="80">
        <f t="shared" si="13"/>
        <v>8253000000</v>
      </c>
      <c r="H27" s="80">
        <f t="shared" si="13"/>
        <v>8236000000</v>
      </c>
      <c r="I27" s="80">
        <f t="shared" si="13"/>
        <v>7757000000</v>
      </c>
      <c r="J27" s="80">
        <f t="shared" si="13"/>
        <v>7882000000</v>
      </c>
      <c r="K27" s="80">
        <f t="shared" si="13"/>
        <v>7525000000</v>
      </c>
      <c r="L27" s="80">
        <f t="shared" si="13"/>
        <v>7665000000</v>
      </c>
      <c r="M27" s="80">
        <f t="shared" si="13"/>
        <v>7596000000</v>
      </c>
      <c r="N27" s="80">
        <f t="shared" si="13"/>
        <v>6446000000</v>
      </c>
      <c r="O27" s="80">
        <f t="shared" si="13"/>
        <v>4538000000</v>
      </c>
      <c r="P27" s="80">
        <f t="shared" si="13"/>
        <v>4436000000</v>
      </c>
      <c r="Q27" s="80">
        <f t="shared" si="13"/>
        <v>4611000000</v>
      </c>
      <c r="R27" s="80">
        <f t="shared" si="13"/>
        <v>4584000000</v>
      </c>
      <c r="S27" s="80">
        <f t="shared" si="13"/>
        <v>4388000000</v>
      </c>
      <c r="T27" s="80">
        <f t="shared" si="13"/>
        <v>3956000000</v>
      </c>
      <c r="U27" s="80">
        <f t="shared" si="13"/>
        <v>3940000000</v>
      </c>
      <c r="V27" s="80">
        <f t="shared" si="13"/>
        <v>4165000000</v>
      </c>
      <c r="W27" s="80">
        <f t="shared" si="13"/>
        <v>4549000000</v>
      </c>
      <c r="X27" s="80">
        <f t="shared" si="13"/>
        <v>4939000000</v>
      </c>
      <c r="Y27" s="80">
        <f t="shared" si="13"/>
        <v>4913000000</v>
      </c>
      <c r="Z27" s="80">
        <f t="shared" si="13"/>
        <v>2755000000</v>
      </c>
      <c r="AA27" s="80">
        <f t="shared" si="13"/>
        <v>2520000000</v>
      </c>
      <c r="AB27" s="80">
        <f t="shared" si="13"/>
        <v>3049000000</v>
      </c>
      <c r="AC27" s="75">
        <f t="shared" si="13"/>
        <v>3917400000</v>
      </c>
      <c r="AD27" s="75">
        <f t="shared" si="13"/>
        <v>4449444444.4444447</v>
      </c>
      <c r="AE27" s="116"/>
      <c r="AF27" s="116"/>
      <c r="AG27" s="116"/>
      <c r="AH27" s="116"/>
      <c r="AI27" s="116"/>
      <c r="AJ27" s="116"/>
      <c r="AK27" s="116"/>
      <c r="AL27" s="116"/>
      <c r="AM27" s="116"/>
      <c r="AN27" s="116"/>
      <c r="AO27" s="116"/>
      <c r="AP27" s="116"/>
    </row>
    <row r="29" spans="1:42">
      <c r="A29" s="71">
        <v>3</v>
      </c>
      <c r="B29" s="71" t="s">
        <v>494</v>
      </c>
      <c r="C29" s="1910" t="s">
        <v>542</v>
      </c>
      <c r="D29" s="1910"/>
      <c r="E29" s="1910"/>
      <c r="F29" s="1910"/>
      <c r="G29" s="1910"/>
      <c r="H29" s="1910"/>
      <c r="I29" s="1910"/>
      <c r="J29" s="1910"/>
      <c r="K29" s="1910"/>
      <c r="L29" s="1910"/>
      <c r="M29" s="1910"/>
      <c r="N29" s="1910"/>
      <c r="O29" s="1910"/>
      <c r="P29" s="1910"/>
      <c r="Q29" s="1910"/>
      <c r="R29" s="1910"/>
      <c r="S29" s="1910"/>
      <c r="T29" s="1910"/>
      <c r="U29" s="1910"/>
      <c r="V29" s="1910"/>
      <c r="W29" s="1910"/>
      <c r="X29" s="1910"/>
      <c r="Y29" s="1910"/>
      <c r="Z29" s="1910"/>
      <c r="AA29" s="1910"/>
      <c r="AB29" s="1910"/>
      <c r="AC29" s="86"/>
      <c r="AD29" s="86"/>
      <c r="AE29" s="115"/>
      <c r="AF29" s="115"/>
      <c r="AG29" s="115"/>
      <c r="AH29" s="115"/>
      <c r="AI29" s="115"/>
      <c r="AJ29" s="115"/>
      <c r="AK29" s="115"/>
      <c r="AL29" s="115"/>
      <c r="AM29" s="115"/>
      <c r="AN29" s="115"/>
      <c r="AO29" s="115"/>
      <c r="AP29" s="115"/>
    </row>
    <row r="30" spans="1:42">
      <c r="A30" s="71"/>
      <c r="B30" s="71"/>
      <c r="C30" s="72" t="s">
        <v>284</v>
      </c>
      <c r="D30" s="72" t="s">
        <v>285</v>
      </c>
      <c r="E30" s="72" t="s">
        <v>286</v>
      </c>
      <c r="F30" s="72" t="s">
        <v>287</v>
      </c>
      <c r="G30" s="72" t="s">
        <v>288</v>
      </c>
      <c r="H30" s="72" t="s">
        <v>289</v>
      </c>
      <c r="I30" s="72" t="s">
        <v>290</v>
      </c>
      <c r="J30" s="72" t="s">
        <v>291</v>
      </c>
      <c r="K30" s="72" t="s">
        <v>292</v>
      </c>
      <c r="L30" s="72" t="s">
        <v>293</v>
      </c>
      <c r="M30" s="72" t="s">
        <v>294</v>
      </c>
      <c r="N30" s="72" t="s">
        <v>295</v>
      </c>
      <c r="O30" s="72" t="s">
        <v>296</v>
      </c>
      <c r="P30" s="72" t="s">
        <v>297</v>
      </c>
      <c r="Q30" s="72" t="s">
        <v>298</v>
      </c>
      <c r="R30" s="72" t="s">
        <v>299</v>
      </c>
      <c r="S30" s="72" t="s">
        <v>300</v>
      </c>
      <c r="T30" s="72" t="s">
        <v>301</v>
      </c>
      <c r="U30" s="72" t="s">
        <v>302</v>
      </c>
      <c r="V30" s="72" t="s">
        <v>303</v>
      </c>
      <c r="W30" s="72" t="s">
        <v>304</v>
      </c>
      <c r="X30" s="72" t="s">
        <v>305</v>
      </c>
      <c r="Y30" s="72" t="s">
        <v>306</v>
      </c>
      <c r="Z30" s="72" t="s">
        <v>307</v>
      </c>
      <c r="AA30" s="72" t="s">
        <v>308</v>
      </c>
      <c r="AB30" s="72" t="s">
        <v>309</v>
      </c>
      <c r="AC30" s="72" t="s">
        <v>351</v>
      </c>
      <c r="AD30" s="72" t="s">
        <v>352</v>
      </c>
      <c r="AE30" s="72" t="s">
        <v>340</v>
      </c>
      <c r="AF30" s="72" t="s">
        <v>341</v>
      </c>
      <c r="AG30" s="72" t="s">
        <v>342</v>
      </c>
      <c r="AH30" s="72" t="s">
        <v>343</v>
      </c>
      <c r="AI30" s="72" t="s">
        <v>344</v>
      </c>
      <c r="AJ30" s="72" t="s">
        <v>345</v>
      </c>
      <c r="AK30" s="72" t="s">
        <v>346</v>
      </c>
      <c r="AL30" s="72" t="s">
        <v>347</v>
      </c>
      <c r="AM30" s="72" t="s">
        <v>348</v>
      </c>
      <c r="AN30" s="72" t="s">
        <v>349</v>
      </c>
      <c r="AO30" s="72" t="s">
        <v>350</v>
      </c>
      <c r="AP30" s="72" t="s">
        <v>353</v>
      </c>
    </row>
    <row r="31" spans="1:42">
      <c r="A31" s="72" t="s">
        <v>315</v>
      </c>
      <c r="B31" s="1917" t="s">
        <v>339</v>
      </c>
      <c r="C31" s="76"/>
      <c r="D31" s="76">
        <f t="shared" ref="D31:AB31" si="14">D19-C19</f>
        <v>-375000000</v>
      </c>
      <c r="E31" s="76">
        <f t="shared" si="14"/>
        <v>-112000000</v>
      </c>
      <c r="F31" s="76">
        <f t="shared" si="14"/>
        <v>166000000</v>
      </c>
      <c r="G31" s="76">
        <f t="shared" si="14"/>
        <v>-68000000</v>
      </c>
      <c r="H31" s="76">
        <f t="shared" si="14"/>
        <v>-171000000</v>
      </c>
      <c r="I31" s="76">
        <f t="shared" si="14"/>
        <v>-54000000</v>
      </c>
      <c r="J31" s="76">
        <f t="shared" si="14"/>
        <v>77000000</v>
      </c>
      <c r="K31" s="76">
        <f t="shared" si="14"/>
        <v>34000000</v>
      </c>
      <c r="L31" s="76">
        <f t="shared" si="14"/>
        <v>39000000</v>
      </c>
      <c r="M31" s="76">
        <f t="shared" si="14"/>
        <v>-24000000</v>
      </c>
      <c r="N31" s="76">
        <f t="shared" si="14"/>
        <v>-254000000</v>
      </c>
      <c r="O31" s="76">
        <f t="shared" si="14"/>
        <v>-387000000</v>
      </c>
      <c r="P31" s="76">
        <f t="shared" si="14"/>
        <v>11000000</v>
      </c>
      <c r="Q31" s="76">
        <f t="shared" si="14"/>
        <v>25000000</v>
      </c>
      <c r="R31" s="76">
        <f t="shared" si="14"/>
        <v>3000000</v>
      </c>
      <c r="S31" s="76">
        <f t="shared" si="14"/>
        <v>-18000000</v>
      </c>
      <c r="T31" s="76">
        <f t="shared" si="14"/>
        <v>-35000000</v>
      </c>
      <c r="U31" s="76">
        <f t="shared" si="14"/>
        <v>-32000000</v>
      </c>
      <c r="V31" s="76">
        <f t="shared" si="14"/>
        <v>-22000000</v>
      </c>
      <c r="W31" s="76">
        <f t="shared" si="14"/>
        <v>-5000000</v>
      </c>
      <c r="X31" s="76">
        <f t="shared" si="14"/>
        <v>-5000000</v>
      </c>
      <c r="Y31" s="76">
        <f t="shared" si="14"/>
        <v>-17000000</v>
      </c>
      <c r="Z31" s="76">
        <f t="shared" si="14"/>
        <v>-189000000</v>
      </c>
      <c r="AA31" s="76">
        <f t="shared" si="14"/>
        <v>-27000000</v>
      </c>
      <c r="AB31" s="76">
        <f t="shared" si="14"/>
        <v>90000000</v>
      </c>
      <c r="AC31" s="73">
        <f t="shared" ref="AC31:AC38" si="15">AVERAGE(S31:AB31)</f>
        <v>-26000000</v>
      </c>
      <c r="AD31" s="73">
        <f t="shared" ref="AD31:AD38" si="16">AVERAGE(Q31:Y31)</f>
        <v>-11777777.777777778</v>
      </c>
      <c r="AE31" s="115"/>
      <c r="AF31" s="115"/>
      <c r="AG31" s="115"/>
      <c r="AH31" s="115"/>
      <c r="AI31" s="115"/>
      <c r="AJ31" s="115"/>
      <c r="AK31" s="115"/>
      <c r="AL31" s="115"/>
      <c r="AM31" s="115"/>
      <c r="AN31" s="115"/>
      <c r="AO31" s="115"/>
      <c r="AP31" s="115"/>
    </row>
    <row r="32" spans="1:42">
      <c r="A32" s="72" t="s">
        <v>310</v>
      </c>
      <c r="B32" s="1918"/>
      <c r="C32" s="76"/>
      <c r="D32" s="76">
        <f t="shared" ref="D32:AB32" si="17">D20-C20</f>
        <v>-103000000</v>
      </c>
      <c r="E32" s="76">
        <f t="shared" si="17"/>
        <v>-35000000</v>
      </c>
      <c r="F32" s="76">
        <f t="shared" si="17"/>
        <v>28000000</v>
      </c>
      <c r="G32" s="76">
        <f t="shared" si="17"/>
        <v>37000000</v>
      </c>
      <c r="H32" s="76">
        <f t="shared" si="17"/>
        <v>254000000</v>
      </c>
      <c r="I32" s="76">
        <f t="shared" si="17"/>
        <v>-337000000</v>
      </c>
      <c r="J32" s="76">
        <f t="shared" si="17"/>
        <v>28000000</v>
      </c>
      <c r="K32" s="76">
        <f t="shared" si="17"/>
        <v>-42000000</v>
      </c>
      <c r="L32" s="76">
        <f t="shared" si="17"/>
        <v>10000000</v>
      </c>
      <c r="M32" s="76">
        <f t="shared" si="17"/>
        <v>-1000000</v>
      </c>
      <c r="N32" s="76">
        <f t="shared" si="17"/>
        <v>-29000000</v>
      </c>
      <c r="O32" s="76">
        <f t="shared" si="17"/>
        <v>-89000000</v>
      </c>
      <c r="P32" s="76">
        <f t="shared" si="17"/>
        <v>4000000</v>
      </c>
      <c r="Q32" s="76">
        <f t="shared" si="17"/>
        <v>47000000</v>
      </c>
      <c r="R32" s="76">
        <f t="shared" si="17"/>
        <v>16000000</v>
      </c>
      <c r="S32" s="76">
        <f t="shared" si="17"/>
        <v>26000000</v>
      </c>
      <c r="T32" s="76">
        <f t="shared" si="17"/>
        <v>-136000000</v>
      </c>
      <c r="U32" s="76">
        <f t="shared" si="17"/>
        <v>147000000</v>
      </c>
      <c r="V32" s="76">
        <f t="shared" si="17"/>
        <v>303000000</v>
      </c>
      <c r="W32" s="76">
        <f t="shared" si="17"/>
        <v>361000000</v>
      </c>
      <c r="X32" s="76">
        <f t="shared" si="17"/>
        <v>375000000</v>
      </c>
      <c r="Y32" s="76">
        <f t="shared" si="17"/>
        <v>48000000</v>
      </c>
      <c r="Z32" s="76">
        <f t="shared" si="17"/>
        <v>-866000000</v>
      </c>
      <c r="AA32" s="76">
        <f t="shared" si="17"/>
        <v>-191000000</v>
      </c>
      <c r="AB32" s="76">
        <f t="shared" si="17"/>
        <v>101000000</v>
      </c>
      <c r="AC32" s="73">
        <f t="shared" si="15"/>
        <v>16800000</v>
      </c>
      <c r="AD32" s="73">
        <f t="shared" si="16"/>
        <v>131888888.8888889</v>
      </c>
      <c r="AE32" s="115"/>
      <c r="AF32" s="115"/>
      <c r="AG32" s="115"/>
      <c r="AH32" s="115"/>
      <c r="AI32" s="115"/>
      <c r="AJ32" s="115"/>
      <c r="AK32" s="115"/>
      <c r="AL32" s="115"/>
      <c r="AM32" s="115"/>
      <c r="AN32" s="115"/>
      <c r="AO32" s="115"/>
      <c r="AP32" s="115"/>
    </row>
    <row r="33" spans="1:42">
      <c r="A33" s="72" t="s">
        <v>317</v>
      </c>
      <c r="B33" s="1918"/>
      <c r="C33" s="76"/>
      <c r="D33" s="76">
        <f t="shared" ref="D33:AB33" si="18">D21-C21</f>
        <v>-185000000</v>
      </c>
      <c r="E33" s="76">
        <f t="shared" si="18"/>
        <v>-190000000</v>
      </c>
      <c r="F33" s="76">
        <f t="shared" si="18"/>
        <v>-56000000</v>
      </c>
      <c r="G33" s="76">
        <f t="shared" si="18"/>
        <v>31000000</v>
      </c>
      <c r="H33" s="76">
        <f t="shared" si="18"/>
        <v>-95000000</v>
      </c>
      <c r="I33" s="76">
        <f t="shared" si="18"/>
        <v>85000000</v>
      </c>
      <c r="J33" s="76">
        <f t="shared" si="18"/>
        <v>-159000000</v>
      </c>
      <c r="K33" s="76">
        <f t="shared" si="18"/>
        <v>28000000</v>
      </c>
      <c r="L33" s="76">
        <f t="shared" si="18"/>
        <v>8000000</v>
      </c>
      <c r="M33" s="76">
        <f t="shared" si="18"/>
        <v>2000000</v>
      </c>
      <c r="N33" s="76">
        <f t="shared" si="18"/>
        <v>-116000000</v>
      </c>
      <c r="O33" s="76">
        <f t="shared" si="18"/>
        <v>-335000000</v>
      </c>
      <c r="P33" s="76">
        <f t="shared" si="18"/>
        <v>-44000000</v>
      </c>
      <c r="Q33" s="76">
        <f t="shared" si="18"/>
        <v>71000000</v>
      </c>
      <c r="R33" s="76">
        <f t="shared" si="18"/>
        <v>-12000000</v>
      </c>
      <c r="S33" s="76">
        <f t="shared" si="18"/>
        <v>-10000000</v>
      </c>
      <c r="T33" s="76">
        <f t="shared" si="18"/>
        <v>-85000000</v>
      </c>
      <c r="U33" s="76">
        <f t="shared" si="18"/>
        <v>29000000</v>
      </c>
      <c r="V33" s="76">
        <f t="shared" si="18"/>
        <v>-35000000</v>
      </c>
      <c r="W33" s="76">
        <f t="shared" si="18"/>
        <v>-15000000</v>
      </c>
      <c r="X33" s="76">
        <f t="shared" si="18"/>
        <v>-17000000</v>
      </c>
      <c r="Y33" s="76">
        <f t="shared" si="18"/>
        <v>6000000</v>
      </c>
      <c r="Z33" s="76">
        <f t="shared" si="18"/>
        <v>-162000000</v>
      </c>
      <c r="AA33" s="76">
        <f t="shared" si="18"/>
        <v>-21000000</v>
      </c>
      <c r="AB33" s="76">
        <f t="shared" si="18"/>
        <v>87000000</v>
      </c>
      <c r="AC33" s="73">
        <f t="shared" si="15"/>
        <v>-22300000</v>
      </c>
      <c r="AD33" s="73">
        <f t="shared" si="16"/>
        <v>-7555555.555555556</v>
      </c>
      <c r="AE33" s="115"/>
      <c r="AF33" s="115"/>
      <c r="AG33" s="115"/>
      <c r="AH33" s="115"/>
      <c r="AI33" s="115"/>
      <c r="AJ33" s="115"/>
      <c r="AK33" s="115"/>
      <c r="AL33" s="115"/>
      <c r="AM33" s="115"/>
      <c r="AN33" s="115"/>
      <c r="AO33" s="115"/>
      <c r="AP33" s="115"/>
    </row>
    <row r="34" spans="1:42">
      <c r="A34" s="72" t="s">
        <v>313</v>
      </c>
      <c r="B34" s="1918"/>
      <c r="C34" s="76"/>
      <c r="D34" s="76">
        <f t="shared" ref="D34:AB34" si="19">D22-C22</f>
        <v>-95000000</v>
      </c>
      <c r="E34" s="76">
        <f t="shared" si="19"/>
        <v>-140000000</v>
      </c>
      <c r="F34" s="76">
        <f t="shared" si="19"/>
        <v>-6000000</v>
      </c>
      <c r="G34" s="76">
        <f t="shared" si="19"/>
        <v>240000000</v>
      </c>
      <c r="H34" s="76">
        <f t="shared" si="19"/>
        <v>95000000</v>
      </c>
      <c r="I34" s="76">
        <f t="shared" si="19"/>
        <v>-122000000</v>
      </c>
      <c r="J34" s="76">
        <f t="shared" si="19"/>
        <v>-18000000</v>
      </c>
      <c r="K34" s="76">
        <f t="shared" si="19"/>
        <v>-79000000</v>
      </c>
      <c r="L34" s="76">
        <f t="shared" si="19"/>
        <v>75000000</v>
      </c>
      <c r="M34" s="76">
        <f t="shared" si="19"/>
        <v>-55000000</v>
      </c>
      <c r="N34" s="76">
        <f t="shared" si="19"/>
        <v>-215000000</v>
      </c>
      <c r="O34" s="76">
        <f t="shared" si="19"/>
        <v>-212000000</v>
      </c>
      <c r="P34" s="76">
        <f t="shared" si="19"/>
        <v>-62000000</v>
      </c>
      <c r="Q34" s="76">
        <f t="shared" si="19"/>
        <v>25000000</v>
      </c>
      <c r="R34" s="76">
        <f t="shared" si="19"/>
        <v>-36000000</v>
      </c>
      <c r="S34" s="76">
        <f t="shared" si="19"/>
        <v>-2000000</v>
      </c>
      <c r="T34" s="76">
        <f t="shared" si="19"/>
        <v>-82000000</v>
      </c>
      <c r="U34" s="76">
        <f t="shared" si="19"/>
        <v>-16000000</v>
      </c>
      <c r="V34" s="76">
        <f t="shared" si="19"/>
        <v>-24000000</v>
      </c>
      <c r="W34" s="76">
        <f t="shared" si="19"/>
        <v>-59000000</v>
      </c>
      <c r="X34" s="76">
        <f t="shared" si="19"/>
        <v>92000000</v>
      </c>
      <c r="Y34" s="76">
        <f t="shared" si="19"/>
        <v>-95000000</v>
      </c>
      <c r="Z34" s="76">
        <f t="shared" si="19"/>
        <v>-175000000</v>
      </c>
      <c r="AA34" s="76">
        <f t="shared" si="19"/>
        <v>-1000000</v>
      </c>
      <c r="AB34" s="76">
        <f t="shared" si="19"/>
        <v>19000000</v>
      </c>
      <c r="AC34" s="73">
        <f t="shared" si="15"/>
        <v>-34300000</v>
      </c>
      <c r="AD34" s="73">
        <f t="shared" si="16"/>
        <v>-21888888.888888888</v>
      </c>
      <c r="AE34" s="115"/>
      <c r="AF34" s="115"/>
      <c r="AG34" s="115"/>
      <c r="AH34" s="115"/>
      <c r="AI34" s="115"/>
      <c r="AJ34" s="115"/>
      <c r="AK34" s="115"/>
      <c r="AL34" s="115"/>
      <c r="AM34" s="115"/>
      <c r="AN34" s="115"/>
      <c r="AO34" s="115"/>
      <c r="AP34" s="115"/>
    </row>
    <row r="35" spans="1:42">
      <c r="A35" s="72" t="s">
        <v>316</v>
      </c>
      <c r="B35" s="1918"/>
      <c r="C35" s="76"/>
      <c r="D35" s="76">
        <f t="shared" ref="D35:AB35" si="20">D23-C23</f>
        <v>-137000000</v>
      </c>
      <c r="E35" s="76">
        <f t="shared" si="20"/>
        <v>-26000000</v>
      </c>
      <c r="F35" s="76">
        <f t="shared" si="20"/>
        <v>144000000</v>
      </c>
      <c r="G35" s="76">
        <f t="shared" si="20"/>
        <v>-81000000</v>
      </c>
      <c r="H35" s="76">
        <f t="shared" si="20"/>
        <v>-3000000</v>
      </c>
      <c r="I35" s="76">
        <f t="shared" si="20"/>
        <v>-67000000</v>
      </c>
      <c r="J35" s="76">
        <f t="shared" si="20"/>
        <v>362000000</v>
      </c>
      <c r="K35" s="76">
        <f t="shared" si="20"/>
        <v>-334000000</v>
      </c>
      <c r="L35" s="76">
        <f t="shared" si="20"/>
        <v>14000000</v>
      </c>
      <c r="M35" s="76">
        <f t="shared" si="20"/>
        <v>-232000000</v>
      </c>
      <c r="N35" s="76">
        <f t="shared" si="20"/>
        <v>136000000</v>
      </c>
      <c r="O35" s="76">
        <f t="shared" si="20"/>
        <v>-483000000</v>
      </c>
      <c r="P35" s="76">
        <f t="shared" si="20"/>
        <v>-30000000</v>
      </c>
      <c r="Q35" s="76">
        <f t="shared" si="20"/>
        <v>-18000000</v>
      </c>
      <c r="R35" s="76">
        <f t="shared" si="20"/>
        <v>-14000000</v>
      </c>
      <c r="S35" s="76">
        <f t="shared" si="20"/>
        <v>-12000000</v>
      </c>
      <c r="T35" s="76">
        <f t="shared" si="20"/>
        <v>-14000000</v>
      </c>
      <c r="U35" s="76">
        <f t="shared" si="20"/>
        <v>-45000000</v>
      </c>
      <c r="V35" s="76">
        <f t="shared" si="20"/>
        <v>-18000000</v>
      </c>
      <c r="W35" s="76">
        <f t="shared" si="20"/>
        <v>-8000000</v>
      </c>
      <c r="X35" s="76">
        <f t="shared" si="20"/>
        <v>-7000000</v>
      </c>
      <c r="Y35" s="76">
        <f t="shared" si="20"/>
        <v>-4000000</v>
      </c>
      <c r="Z35" s="76">
        <f t="shared" si="20"/>
        <v>-165000000</v>
      </c>
      <c r="AA35" s="76">
        <f t="shared" si="20"/>
        <v>-29000000</v>
      </c>
      <c r="AB35" s="76">
        <f t="shared" si="20"/>
        <v>79000000</v>
      </c>
      <c r="AC35" s="73">
        <f t="shared" si="15"/>
        <v>-22300000</v>
      </c>
      <c r="AD35" s="73">
        <f t="shared" si="16"/>
        <v>-15555555.555555556</v>
      </c>
      <c r="AE35" s="115"/>
      <c r="AF35" s="115"/>
      <c r="AG35" s="115"/>
      <c r="AH35" s="115"/>
      <c r="AI35" s="115"/>
      <c r="AJ35" s="115"/>
      <c r="AK35" s="115"/>
      <c r="AL35" s="115"/>
      <c r="AM35" s="115"/>
      <c r="AN35" s="115"/>
      <c r="AO35" s="115"/>
      <c r="AP35" s="115"/>
    </row>
    <row r="36" spans="1:42">
      <c r="A36" s="72" t="s">
        <v>312</v>
      </c>
      <c r="B36" s="1918"/>
      <c r="C36" s="76"/>
      <c r="D36" s="76">
        <f t="shared" ref="D36:AB36" si="21">D24-C24</f>
        <v>-245000000</v>
      </c>
      <c r="E36" s="76">
        <f t="shared" si="21"/>
        <v>-117000000</v>
      </c>
      <c r="F36" s="76">
        <f t="shared" si="21"/>
        <v>81000000</v>
      </c>
      <c r="G36" s="76">
        <f t="shared" si="21"/>
        <v>-2000000</v>
      </c>
      <c r="H36" s="76">
        <f t="shared" si="21"/>
        <v>-18000000</v>
      </c>
      <c r="I36" s="76">
        <f t="shared" si="21"/>
        <v>-40000000</v>
      </c>
      <c r="J36" s="76">
        <f t="shared" si="21"/>
        <v>72000000</v>
      </c>
      <c r="K36" s="76">
        <f t="shared" si="21"/>
        <v>13000000</v>
      </c>
      <c r="L36" s="76">
        <f t="shared" si="21"/>
        <v>-48000000</v>
      </c>
      <c r="M36" s="76">
        <f t="shared" si="21"/>
        <v>113000000</v>
      </c>
      <c r="N36" s="76">
        <f t="shared" si="21"/>
        <v>-378000000</v>
      </c>
      <c r="O36" s="76">
        <f t="shared" si="21"/>
        <v>-120000000</v>
      </c>
      <c r="P36" s="76">
        <f t="shared" si="21"/>
        <v>80000000</v>
      </c>
      <c r="Q36" s="76">
        <f t="shared" si="21"/>
        <v>-21000000</v>
      </c>
      <c r="R36" s="76">
        <f t="shared" si="21"/>
        <v>21000000</v>
      </c>
      <c r="S36" s="76">
        <f t="shared" si="21"/>
        <v>-85000000</v>
      </c>
      <c r="T36" s="76">
        <f t="shared" si="21"/>
        <v>-24000000</v>
      </c>
      <c r="U36" s="76">
        <f t="shared" si="21"/>
        <v>-4000000</v>
      </c>
      <c r="V36" s="76">
        <f t="shared" si="21"/>
        <v>-13000000</v>
      </c>
      <c r="W36" s="76">
        <f t="shared" si="21"/>
        <v>7000000</v>
      </c>
      <c r="X36" s="76">
        <f t="shared" si="21"/>
        <v>-1000000</v>
      </c>
      <c r="Y36" s="76">
        <f t="shared" si="21"/>
        <v>4000000</v>
      </c>
      <c r="Z36" s="76">
        <f t="shared" si="21"/>
        <v>-249000000</v>
      </c>
      <c r="AA36" s="76">
        <f t="shared" si="21"/>
        <v>3000000</v>
      </c>
      <c r="AB36" s="76">
        <f t="shared" si="21"/>
        <v>74000000</v>
      </c>
      <c r="AC36" s="73">
        <f t="shared" si="15"/>
        <v>-28800000</v>
      </c>
      <c r="AD36" s="73">
        <f t="shared" si="16"/>
        <v>-12888888.888888888</v>
      </c>
      <c r="AE36" s="115"/>
      <c r="AF36" s="115"/>
      <c r="AG36" s="115"/>
      <c r="AH36" s="115"/>
      <c r="AI36" s="115"/>
      <c r="AJ36" s="115"/>
      <c r="AK36" s="115"/>
      <c r="AL36" s="115"/>
      <c r="AM36" s="115"/>
      <c r="AN36" s="115"/>
      <c r="AO36" s="115"/>
      <c r="AP36" s="115"/>
    </row>
    <row r="37" spans="1:42">
      <c r="A37" s="72" t="s">
        <v>311</v>
      </c>
      <c r="B37" s="1918"/>
      <c r="C37" s="76"/>
      <c r="D37" s="76">
        <f t="shared" ref="D37:AB37" si="22">D25-C25</f>
        <v>37000000</v>
      </c>
      <c r="E37" s="76">
        <f t="shared" si="22"/>
        <v>-173000000</v>
      </c>
      <c r="F37" s="76">
        <f t="shared" si="22"/>
        <v>2000000</v>
      </c>
      <c r="G37" s="76">
        <f t="shared" si="22"/>
        <v>-107000000</v>
      </c>
      <c r="H37" s="76">
        <f t="shared" si="22"/>
        <v>-13000000</v>
      </c>
      <c r="I37" s="76">
        <f t="shared" si="22"/>
        <v>-51000000</v>
      </c>
      <c r="J37" s="76">
        <f t="shared" si="22"/>
        <v>-4000000</v>
      </c>
      <c r="K37" s="76">
        <f t="shared" si="22"/>
        <v>14000000</v>
      </c>
      <c r="L37" s="76">
        <f t="shared" si="22"/>
        <v>96000000</v>
      </c>
      <c r="M37" s="76">
        <f t="shared" si="22"/>
        <v>9000000</v>
      </c>
      <c r="N37" s="76">
        <f t="shared" si="22"/>
        <v>-104000000</v>
      </c>
      <c r="O37" s="76">
        <f t="shared" si="22"/>
        <v>-155000000</v>
      </c>
      <c r="P37" s="76">
        <f t="shared" si="22"/>
        <v>-8000000</v>
      </c>
      <c r="Q37" s="76">
        <f t="shared" si="22"/>
        <v>11000000</v>
      </c>
      <c r="R37" s="76">
        <f t="shared" si="22"/>
        <v>-18000000</v>
      </c>
      <c r="S37" s="76">
        <f t="shared" si="22"/>
        <v>15000000</v>
      </c>
      <c r="T37" s="76">
        <f t="shared" si="22"/>
        <v>-68000000</v>
      </c>
      <c r="U37" s="76">
        <f t="shared" si="22"/>
        <v>-9000000</v>
      </c>
      <c r="V37" s="76">
        <f t="shared" si="22"/>
        <v>16000000</v>
      </c>
      <c r="W37" s="76">
        <f t="shared" si="22"/>
        <v>110000000</v>
      </c>
      <c r="X37" s="76">
        <f t="shared" si="22"/>
        <v>-59000000</v>
      </c>
      <c r="Y37" s="76">
        <f t="shared" si="22"/>
        <v>33000000</v>
      </c>
      <c r="Z37" s="76">
        <f t="shared" si="22"/>
        <v>-149000000</v>
      </c>
      <c r="AA37" s="76">
        <f t="shared" si="22"/>
        <v>23000000</v>
      </c>
      <c r="AB37" s="76">
        <f t="shared" si="22"/>
        <v>7000000</v>
      </c>
      <c r="AC37" s="73">
        <f t="shared" si="15"/>
        <v>-8100000</v>
      </c>
      <c r="AD37" s="73">
        <f t="shared" si="16"/>
        <v>3444444.4444444445</v>
      </c>
      <c r="AE37" s="115"/>
      <c r="AF37" s="115"/>
      <c r="AG37" s="115"/>
      <c r="AH37" s="115"/>
      <c r="AI37" s="115"/>
      <c r="AJ37" s="115"/>
      <c r="AK37" s="115"/>
      <c r="AL37" s="115"/>
      <c r="AM37" s="115"/>
      <c r="AN37" s="115"/>
      <c r="AO37" s="115"/>
      <c r="AP37" s="115"/>
    </row>
    <row r="38" spans="1:42">
      <c r="A38" s="72" t="s">
        <v>314</v>
      </c>
      <c r="B38" s="1919"/>
      <c r="C38" s="76"/>
      <c r="D38" s="76">
        <f t="shared" ref="D38:AB38" si="23">D26-C26</f>
        <v>-26000000</v>
      </c>
      <c r="E38" s="76">
        <f t="shared" si="23"/>
        <v>-214000000</v>
      </c>
      <c r="F38" s="76">
        <f t="shared" si="23"/>
        <v>243000000</v>
      </c>
      <c r="G38" s="76">
        <f t="shared" si="23"/>
        <v>-232000000</v>
      </c>
      <c r="H38" s="76">
        <f t="shared" si="23"/>
        <v>-66000000</v>
      </c>
      <c r="I38" s="76">
        <f t="shared" si="23"/>
        <v>107000000</v>
      </c>
      <c r="J38" s="76">
        <f t="shared" si="23"/>
        <v>-233000000</v>
      </c>
      <c r="K38" s="76">
        <f t="shared" si="23"/>
        <v>9000000</v>
      </c>
      <c r="L38" s="76">
        <f t="shared" si="23"/>
        <v>-54000000</v>
      </c>
      <c r="M38" s="76">
        <f t="shared" si="23"/>
        <v>119000000</v>
      </c>
      <c r="N38" s="76">
        <f t="shared" si="23"/>
        <v>-190000000</v>
      </c>
      <c r="O38" s="76">
        <f t="shared" si="23"/>
        <v>-127000000</v>
      </c>
      <c r="P38" s="76">
        <f t="shared" si="23"/>
        <v>-53000000</v>
      </c>
      <c r="Q38" s="76">
        <f t="shared" si="23"/>
        <v>35000000</v>
      </c>
      <c r="R38" s="76">
        <f t="shared" si="23"/>
        <v>13000000</v>
      </c>
      <c r="S38" s="76">
        <f t="shared" si="23"/>
        <v>-110000000</v>
      </c>
      <c r="T38" s="76">
        <f t="shared" si="23"/>
        <v>12000000</v>
      </c>
      <c r="U38" s="76">
        <f t="shared" si="23"/>
        <v>-86000000</v>
      </c>
      <c r="V38" s="76">
        <f t="shared" si="23"/>
        <v>18000000</v>
      </c>
      <c r="W38" s="76">
        <f t="shared" si="23"/>
        <v>-7000000</v>
      </c>
      <c r="X38" s="76">
        <f t="shared" si="23"/>
        <v>12000000</v>
      </c>
      <c r="Y38" s="76">
        <f t="shared" si="23"/>
        <v>-1000000</v>
      </c>
      <c r="Z38" s="76">
        <f t="shared" si="23"/>
        <v>-203000000</v>
      </c>
      <c r="AA38" s="76">
        <f t="shared" si="23"/>
        <v>8000000</v>
      </c>
      <c r="AB38" s="76">
        <f t="shared" si="23"/>
        <v>72000000</v>
      </c>
      <c r="AC38" s="73">
        <f t="shared" si="15"/>
        <v>-28500000</v>
      </c>
      <c r="AD38" s="73">
        <f t="shared" si="16"/>
        <v>-12666666.666666666</v>
      </c>
      <c r="AE38" s="115"/>
      <c r="AF38" s="115"/>
      <c r="AG38" s="115"/>
      <c r="AH38" s="115"/>
      <c r="AI38" s="115"/>
      <c r="AJ38" s="115"/>
      <c r="AK38" s="115"/>
      <c r="AL38" s="115"/>
      <c r="AM38" s="115"/>
      <c r="AN38" s="115"/>
      <c r="AO38" s="115"/>
      <c r="AP38" s="115"/>
    </row>
    <row r="39" spans="1:42" s="61" customFormat="1">
      <c r="A39" s="74" t="s">
        <v>203</v>
      </c>
      <c r="B39" s="74"/>
      <c r="C39" s="75"/>
      <c r="D39" s="75">
        <f t="shared" ref="D39:AD39" si="24">SUM(D31:D38)</f>
        <v>-1129000000</v>
      </c>
      <c r="E39" s="75">
        <f t="shared" si="24"/>
        <v>-1007000000</v>
      </c>
      <c r="F39" s="75">
        <f t="shared" si="24"/>
        <v>602000000</v>
      </c>
      <c r="G39" s="75">
        <f t="shared" si="24"/>
        <v>-182000000</v>
      </c>
      <c r="H39" s="75">
        <f t="shared" si="24"/>
        <v>-17000000</v>
      </c>
      <c r="I39" s="75">
        <f t="shared" si="24"/>
        <v>-479000000</v>
      </c>
      <c r="J39" s="75">
        <f t="shared" si="24"/>
        <v>125000000</v>
      </c>
      <c r="K39" s="75">
        <f t="shared" si="24"/>
        <v>-357000000</v>
      </c>
      <c r="L39" s="75">
        <f t="shared" si="24"/>
        <v>140000000</v>
      </c>
      <c r="M39" s="75">
        <f t="shared" si="24"/>
        <v>-69000000</v>
      </c>
      <c r="N39" s="75">
        <f t="shared" si="24"/>
        <v>-1150000000</v>
      </c>
      <c r="O39" s="75">
        <f t="shared" si="24"/>
        <v>-1908000000</v>
      </c>
      <c r="P39" s="75">
        <f t="shared" si="24"/>
        <v>-102000000</v>
      </c>
      <c r="Q39" s="75">
        <f t="shared" si="24"/>
        <v>175000000</v>
      </c>
      <c r="R39" s="75">
        <f t="shared" si="24"/>
        <v>-27000000</v>
      </c>
      <c r="S39" s="75">
        <f t="shared" si="24"/>
        <v>-196000000</v>
      </c>
      <c r="T39" s="75">
        <f t="shared" si="24"/>
        <v>-432000000</v>
      </c>
      <c r="U39" s="75">
        <f t="shared" si="24"/>
        <v>-16000000</v>
      </c>
      <c r="V39" s="75">
        <f t="shared" si="24"/>
        <v>225000000</v>
      </c>
      <c r="W39" s="75">
        <f t="shared" si="24"/>
        <v>384000000</v>
      </c>
      <c r="X39" s="75">
        <f t="shared" si="24"/>
        <v>390000000</v>
      </c>
      <c r="Y39" s="75">
        <f t="shared" si="24"/>
        <v>-26000000</v>
      </c>
      <c r="Z39" s="75">
        <f t="shared" si="24"/>
        <v>-2158000000</v>
      </c>
      <c r="AA39" s="75">
        <f t="shared" si="24"/>
        <v>-235000000</v>
      </c>
      <c r="AB39" s="75">
        <f t="shared" si="24"/>
        <v>529000000</v>
      </c>
      <c r="AC39" s="75">
        <f t="shared" si="24"/>
        <v>-153500000</v>
      </c>
      <c r="AD39" s="75">
        <f t="shared" si="24"/>
        <v>53000000.00000003</v>
      </c>
      <c r="AE39" s="116"/>
      <c r="AF39" s="116"/>
      <c r="AG39" s="116"/>
      <c r="AH39" s="116"/>
      <c r="AI39" s="116"/>
      <c r="AJ39" s="116"/>
      <c r="AK39" s="116"/>
      <c r="AL39" s="116"/>
      <c r="AM39" s="116"/>
      <c r="AN39" s="116"/>
      <c r="AO39" s="116"/>
      <c r="AP39" s="116"/>
    </row>
    <row r="41" spans="1:42">
      <c r="A41" s="71">
        <v>4</v>
      </c>
      <c r="B41" s="71" t="s">
        <v>494</v>
      </c>
      <c r="C41" s="1910" t="s">
        <v>324</v>
      </c>
      <c r="D41" s="1910"/>
      <c r="E41" s="1910"/>
      <c r="F41" s="1910"/>
      <c r="G41" s="1910"/>
      <c r="H41" s="1910"/>
      <c r="I41" s="1910"/>
      <c r="J41" s="1910"/>
      <c r="K41" s="1910"/>
      <c r="L41" s="1910"/>
      <c r="M41" s="1910"/>
      <c r="N41" s="1910"/>
      <c r="O41" s="1910"/>
      <c r="P41" s="1910"/>
      <c r="Q41" s="1910"/>
      <c r="R41" s="1910"/>
      <c r="S41" s="1910"/>
      <c r="T41" s="1910"/>
      <c r="U41" s="1910"/>
      <c r="V41" s="1910"/>
      <c r="W41" s="1910"/>
      <c r="X41" s="1910"/>
      <c r="Y41" s="1910"/>
      <c r="Z41" s="1910"/>
      <c r="AA41" s="1910"/>
      <c r="AB41" s="1910"/>
      <c r="AC41" s="86"/>
      <c r="AD41" s="86"/>
      <c r="AE41" s="115"/>
      <c r="AF41" s="115"/>
      <c r="AG41" s="115"/>
      <c r="AH41" s="115"/>
      <c r="AI41" s="115"/>
      <c r="AJ41" s="115"/>
      <c r="AK41" s="115"/>
      <c r="AL41" s="115"/>
      <c r="AM41" s="115"/>
      <c r="AN41" s="115"/>
      <c r="AO41" s="115"/>
      <c r="AP41" s="115"/>
    </row>
    <row r="42" spans="1:42">
      <c r="A42" s="71"/>
      <c r="B42" s="71"/>
      <c r="C42" s="72" t="s">
        <v>284</v>
      </c>
      <c r="D42" s="72" t="s">
        <v>285</v>
      </c>
      <c r="E42" s="72" t="s">
        <v>286</v>
      </c>
      <c r="F42" s="72" t="s">
        <v>287</v>
      </c>
      <c r="G42" s="72" t="s">
        <v>288</v>
      </c>
      <c r="H42" s="72" t="s">
        <v>289</v>
      </c>
      <c r="I42" s="72" t="s">
        <v>290</v>
      </c>
      <c r="J42" s="72" t="s">
        <v>291</v>
      </c>
      <c r="K42" s="72" t="s">
        <v>292</v>
      </c>
      <c r="L42" s="72" t="s">
        <v>293</v>
      </c>
      <c r="M42" s="72" t="s">
        <v>294</v>
      </c>
      <c r="N42" s="72" t="s">
        <v>295</v>
      </c>
      <c r="O42" s="72" t="s">
        <v>296</v>
      </c>
      <c r="P42" s="72" t="s">
        <v>297</v>
      </c>
      <c r="Q42" s="72" t="s">
        <v>298</v>
      </c>
      <c r="R42" s="72" t="s">
        <v>299</v>
      </c>
      <c r="S42" s="72" t="s">
        <v>300</v>
      </c>
      <c r="T42" s="72" t="s">
        <v>301</v>
      </c>
      <c r="U42" s="72" t="s">
        <v>302</v>
      </c>
      <c r="V42" s="72" t="s">
        <v>303</v>
      </c>
      <c r="W42" s="72" t="s">
        <v>304</v>
      </c>
      <c r="X42" s="72" t="s">
        <v>305</v>
      </c>
      <c r="Y42" s="72" t="s">
        <v>306</v>
      </c>
      <c r="Z42" s="72" t="s">
        <v>307</v>
      </c>
      <c r="AA42" s="72" t="s">
        <v>308</v>
      </c>
      <c r="AB42" s="72" t="s">
        <v>309</v>
      </c>
      <c r="AC42" s="72" t="s">
        <v>351</v>
      </c>
      <c r="AD42" s="72" t="s">
        <v>352</v>
      </c>
      <c r="AE42" s="72" t="s">
        <v>340</v>
      </c>
      <c r="AF42" s="72" t="s">
        <v>341</v>
      </c>
      <c r="AG42" s="72" t="s">
        <v>342</v>
      </c>
      <c r="AH42" s="72" t="s">
        <v>343</v>
      </c>
      <c r="AI42" s="72" t="s">
        <v>344</v>
      </c>
      <c r="AJ42" s="72" t="s">
        <v>345</v>
      </c>
      <c r="AK42" s="72" t="s">
        <v>346</v>
      </c>
      <c r="AL42" s="72" t="s">
        <v>347</v>
      </c>
      <c r="AM42" s="72" t="s">
        <v>348</v>
      </c>
      <c r="AN42" s="72" t="s">
        <v>349</v>
      </c>
      <c r="AO42" s="72" t="s">
        <v>350</v>
      </c>
      <c r="AP42" s="72" t="s">
        <v>353</v>
      </c>
    </row>
    <row r="43" spans="1:42">
      <c r="A43" s="72" t="s">
        <v>315</v>
      </c>
      <c r="B43" s="1917" t="s">
        <v>339</v>
      </c>
      <c r="C43" s="76"/>
      <c r="D43" s="77">
        <f t="shared" ref="D43:AB43" si="25">D31/C19</f>
        <v>-0.22110849056603774</v>
      </c>
      <c r="E43" s="77">
        <f t="shared" si="25"/>
        <v>-8.4784254352763058E-2</v>
      </c>
      <c r="F43" s="77">
        <f t="shared" si="25"/>
        <v>0.13730355665839536</v>
      </c>
      <c r="G43" s="77">
        <f t="shared" si="25"/>
        <v>-4.9454545454545452E-2</v>
      </c>
      <c r="H43" s="77">
        <f t="shared" si="25"/>
        <v>-0.13083397092578425</v>
      </c>
      <c r="I43" s="77">
        <f t="shared" si="25"/>
        <v>-4.7535211267605633E-2</v>
      </c>
      <c r="J43" s="77">
        <f t="shared" si="25"/>
        <v>7.1164510166358594E-2</v>
      </c>
      <c r="K43" s="77">
        <f t="shared" si="25"/>
        <v>2.9335634167385678E-2</v>
      </c>
      <c r="L43" s="77">
        <f t="shared" si="25"/>
        <v>3.269069572506287E-2</v>
      </c>
      <c r="M43" s="77">
        <f t="shared" si="25"/>
        <v>-1.948051948051948E-2</v>
      </c>
      <c r="N43" s="77">
        <f t="shared" si="25"/>
        <v>-0.21026490066225165</v>
      </c>
      <c r="O43" s="77">
        <f t="shared" si="25"/>
        <v>-0.40566037735849059</v>
      </c>
      <c r="P43" s="77">
        <f t="shared" si="25"/>
        <v>1.9400352733686066E-2</v>
      </c>
      <c r="Q43" s="77">
        <f t="shared" si="25"/>
        <v>4.3252595155709339E-2</v>
      </c>
      <c r="R43" s="77">
        <f t="shared" si="25"/>
        <v>4.9751243781094526E-3</v>
      </c>
      <c r="S43" s="77">
        <f t="shared" si="25"/>
        <v>-2.9702970297029702E-2</v>
      </c>
      <c r="T43" s="77">
        <f t="shared" si="25"/>
        <v>-5.9523809523809521E-2</v>
      </c>
      <c r="U43" s="77">
        <f t="shared" si="25"/>
        <v>-5.7866184448462928E-2</v>
      </c>
      <c r="V43" s="77">
        <f t="shared" si="25"/>
        <v>-4.2226487523992322E-2</v>
      </c>
      <c r="W43" s="77">
        <f t="shared" si="25"/>
        <v>-1.002004008016032E-2</v>
      </c>
      <c r="X43" s="77">
        <f t="shared" si="25"/>
        <v>-1.0121457489878543E-2</v>
      </c>
      <c r="Y43" s="77">
        <f t="shared" si="25"/>
        <v>-3.4764826175869123E-2</v>
      </c>
      <c r="Z43" s="77">
        <f t="shared" si="25"/>
        <v>-0.40042372881355931</v>
      </c>
      <c r="AA43" s="77">
        <f t="shared" si="25"/>
        <v>-9.5406360424028266E-2</v>
      </c>
      <c r="AB43" s="77">
        <f t="shared" si="25"/>
        <v>0.3515625</v>
      </c>
      <c r="AC43" s="98">
        <f t="shared" ref="AC43:AC51" si="26">AVERAGE(S43:AB43)</f>
        <v>-3.8849336477679006E-2</v>
      </c>
      <c r="AD43" s="98">
        <f t="shared" ref="AD43:AD51" si="27">AVERAGE(Q43:Y43)</f>
        <v>-2.1777561778375965E-2</v>
      </c>
      <c r="AE43" s="117"/>
      <c r="AF43" s="117"/>
      <c r="AG43" s="117"/>
      <c r="AH43" s="117"/>
      <c r="AI43" s="117"/>
      <c r="AJ43" s="117"/>
      <c r="AK43" s="117"/>
      <c r="AL43" s="117"/>
      <c r="AM43" s="117"/>
      <c r="AN43" s="117"/>
      <c r="AO43" s="117"/>
      <c r="AP43" s="117"/>
    </row>
    <row r="44" spans="1:42">
      <c r="A44" s="72" t="s">
        <v>310</v>
      </c>
      <c r="B44" s="1918"/>
      <c r="C44" s="76"/>
      <c r="D44" s="77">
        <f t="shared" ref="D44:AB44" si="28">D32/C20</f>
        <v>-0.16118935837245696</v>
      </c>
      <c r="E44" s="77">
        <f t="shared" si="28"/>
        <v>-6.5298507462686561E-2</v>
      </c>
      <c r="F44" s="77">
        <f t="shared" si="28"/>
        <v>5.588822355289421E-2</v>
      </c>
      <c r="G44" s="77">
        <f t="shared" si="28"/>
        <v>6.9943289224952743E-2</v>
      </c>
      <c r="H44" s="77">
        <f t="shared" si="28"/>
        <v>0.44876325088339225</v>
      </c>
      <c r="I44" s="77">
        <f t="shared" si="28"/>
        <v>-0.41097560975609754</v>
      </c>
      <c r="J44" s="77">
        <f t="shared" si="28"/>
        <v>5.7971014492753624E-2</v>
      </c>
      <c r="K44" s="77">
        <f t="shared" si="28"/>
        <v>-8.2191780821917804E-2</v>
      </c>
      <c r="L44" s="77">
        <f t="shared" si="28"/>
        <v>2.1321961620469083E-2</v>
      </c>
      <c r="M44" s="77">
        <f t="shared" si="28"/>
        <v>-2.0876826722338203E-3</v>
      </c>
      <c r="N44" s="77">
        <f t="shared" si="28"/>
        <v>-6.0669456066945605E-2</v>
      </c>
      <c r="O44" s="77">
        <f t="shared" si="28"/>
        <v>-0.19821826280623608</v>
      </c>
      <c r="P44" s="77">
        <f t="shared" si="28"/>
        <v>1.1111111111111112E-2</v>
      </c>
      <c r="Q44" s="77">
        <f t="shared" si="28"/>
        <v>0.12912087912087913</v>
      </c>
      <c r="R44" s="77">
        <f t="shared" si="28"/>
        <v>3.8929440389294405E-2</v>
      </c>
      <c r="S44" s="77">
        <f t="shared" si="28"/>
        <v>6.0889929742388757E-2</v>
      </c>
      <c r="T44" s="171">
        <f t="shared" si="28"/>
        <v>-0.30022075055187636</v>
      </c>
      <c r="U44" s="171">
        <f t="shared" si="28"/>
        <v>0.4637223974763407</v>
      </c>
      <c r="V44" s="171">
        <f t="shared" si="28"/>
        <v>0.65301724137931039</v>
      </c>
      <c r="W44" s="171">
        <f t="shared" si="28"/>
        <v>0.47066492829204692</v>
      </c>
      <c r="X44" s="171">
        <f t="shared" si="28"/>
        <v>0.33244680851063829</v>
      </c>
      <c r="Y44" s="77">
        <f t="shared" si="28"/>
        <v>3.1936127744510975E-2</v>
      </c>
      <c r="Z44" s="77">
        <f t="shared" si="28"/>
        <v>-0.55834945196647323</v>
      </c>
      <c r="AA44" s="77">
        <f t="shared" si="28"/>
        <v>-0.27883211678832115</v>
      </c>
      <c r="AB44" s="77">
        <f t="shared" si="28"/>
        <v>0.20445344129554655</v>
      </c>
      <c r="AC44" s="98">
        <f t="shared" si="26"/>
        <v>0.10797285551341115</v>
      </c>
      <c r="AD44" s="98">
        <f t="shared" si="27"/>
        <v>0.20894522245594815</v>
      </c>
      <c r="AE44" s="117"/>
      <c r="AF44" s="117"/>
      <c r="AG44" s="117"/>
      <c r="AH44" s="117"/>
      <c r="AI44" s="117"/>
      <c r="AJ44" s="117"/>
      <c r="AK44" s="117"/>
      <c r="AL44" s="117"/>
      <c r="AM44" s="117"/>
      <c r="AN44" s="117"/>
      <c r="AO44" s="117"/>
      <c r="AP44" s="117"/>
    </row>
    <row r="45" spans="1:42">
      <c r="A45" s="72" t="s">
        <v>317</v>
      </c>
      <c r="B45" s="1918"/>
      <c r="C45" s="76"/>
      <c r="D45" s="77">
        <f t="shared" ref="D45:AB45" si="29">D33/C21</f>
        <v>-0.12474713418745785</v>
      </c>
      <c r="E45" s="77">
        <f t="shared" si="29"/>
        <v>-0.14637904468412943</v>
      </c>
      <c r="F45" s="77">
        <f t="shared" si="29"/>
        <v>-5.0541516245487361E-2</v>
      </c>
      <c r="G45" s="77">
        <f t="shared" si="29"/>
        <v>2.9467680608365018E-2</v>
      </c>
      <c r="H45" s="77">
        <f t="shared" si="29"/>
        <v>-8.771929824561403E-2</v>
      </c>
      <c r="I45" s="77">
        <f t="shared" si="29"/>
        <v>8.6032388663967604E-2</v>
      </c>
      <c r="J45" s="77">
        <f t="shared" si="29"/>
        <v>-0.14818266542404473</v>
      </c>
      <c r="K45" s="77">
        <f t="shared" si="29"/>
        <v>3.0634573304157548E-2</v>
      </c>
      <c r="L45" s="77">
        <f t="shared" si="29"/>
        <v>8.4925690021231421E-3</v>
      </c>
      <c r="M45" s="77">
        <f t="shared" si="29"/>
        <v>2.1052631578947368E-3</v>
      </c>
      <c r="N45" s="77">
        <f t="shared" si="29"/>
        <v>-0.12184873949579832</v>
      </c>
      <c r="O45" s="77">
        <f t="shared" si="29"/>
        <v>-0.40071770334928231</v>
      </c>
      <c r="P45" s="77">
        <f t="shared" si="29"/>
        <v>-8.7824351297405193E-2</v>
      </c>
      <c r="Q45" s="77">
        <f t="shared" si="29"/>
        <v>0.15536105032822758</v>
      </c>
      <c r="R45" s="77">
        <f t="shared" si="29"/>
        <v>-2.2727272727272728E-2</v>
      </c>
      <c r="S45" s="77">
        <f t="shared" si="29"/>
        <v>-1.937984496124031E-2</v>
      </c>
      <c r="T45" s="77">
        <f t="shared" si="29"/>
        <v>-0.16798418972332016</v>
      </c>
      <c r="U45" s="77">
        <f t="shared" si="29"/>
        <v>6.8883610451306407E-2</v>
      </c>
      <c r="V45" s="77">
        <f t="shared" si="29"/>
        <v>-7.7777777777777779E-2</v>
      </c>
      <c r="W45" s="77">
        <f t="shared" si="29"/>
        <v>-3.614457831325301E-2</v>
      </c>
      <c r="X45" s="77">
        <f t="shared" si="29"/>
        <v>-4.2500000000000003E-2</v>
      </c>
      <c r="Y45" s="77">
        <f t="shared" si="29"/>
        <v>1.5665796344647518E-2</v>
      </c>
      <c r="Z45" s="77">
        <f t="shared" si="29"/>
        <v>-0.41645244215938304</v>
      </c>
      <c r="AA45" s="77">
        <f t="shared" si="29"/>
        <v>-9.2511013215859028E-2</v>
      </c>
      <c r="AB45" s="77">
        <f t="shared" si="29"/>
        <v>0.42233009708737862</v>
      </c>
      <c r="AC45" s="98">
        <f t="shared" si="26"/>
        <v>-3.4587034226750073E-2</v>
      </c>
      <c r="AD45" s="98">
        <f t="shared" si="27"/>
        <v>-1.4067022930964722E-2</v>
      </c>
      <c r="AE45" s="117"/>
      <c r="AF45" s="117"/>
      <c r="AG45" s="117"/>
      <c r="AH45" s="117"/>
      <c r="AI45" s="117"/>
      <c r="AJ45" s="117"/>
      <c r="AK45" s="117"/>
      <c r="AL45" s="117"/>
      <c r="AM45" s="117"/>
      <c r="AN45" s="117"/>
      <c r="AO45" s="117"/>
      <c r="AP45" s="117"/>
    </row>
    <row r="46" spans="1:42">
      <c r="A46" s="72" t="s">
        <v>313</v>
      </c>
      <c r="B46" s="1918"/>
      <c r="C46" s="76"/>
      <c r="D46" s="77">
        <f t="shared" ref="D46:AB46" si="30">D34/C22</f>
        <v>-7.2133637053910404E-2</v>
      </c>
      <c r="E46" s="77">
        <f t="shared" si="30"/>
        <v>-0.11456628477905073</v>
      </c>
      <c r="F46" s="77">
        <f t="shared" si="30"/>
        <v>-5.5452865064695009E-3</v>
      </c>
      <c r="G46" s="77">
        <f t="shared" si="30"/>
        <v>0.22304832713754646</v>
      </c>
      <c r="H46" s="77">
        <f t="shared" si="30"/>
        <v>7.2188449848024319E-2</v>
      </c>
      <c r="I46" s="77">
        <f t="shared" si="30"/>
        <v>-8.6463501063075834E-2</v>
      </c>
      <c r="J46" s="77">
        <f t="shared" si="30"/>
        <v>-1.3964313421256789E-2</v>
      </c>
      <c r="K46" s="77">
        <f t="shared" si="30"/>
        <v>-6.2155782848151063E-2</v>
      </c>
      <c r="L46" s="77">
        <f t="shared" si="30"/>
        <v>6.2919463087248328E-2</v>
      </c>
      <c r="M46" s="77">
        <f t="shared" si="30"/>
        <v>-4.3409629044988164E-2</v>
      </c>
      <c r="N46" s="77">
        <f t="shared" si="30"/>
        <v>-0.1773927392739274</v>
      </c>
      <c r="O46" s="77">
        <f t="shared" si="30"/>
        <v>-0.21263791374122368</v>
      </c>
      <c r="P46" s="77">
        <f t="shared" si="30"/>
        <v>-7.8980891719745219E-2</v>
      </c>
      <c r="Q46" s="77">
        <f t="shared" si="30"/>
        <v>3.4578146611341634E-2</v>
      </c>
      <c r="R46" s="77">
        <f t="shared" si="30"/>
        <v>-4.8128342245989303E-2</v>
      </c>
      <c r="S46" s="77">
        <f t="shared" si="30"/>
        <v>-2.8089887640449437E-3</v>
      </c>
      <c r="T46" s="77">
        <f t="shared" si="30"/>
        <v>-0.11549295774647887</v>
      </c>
      <c r="U46" s="77">
        <f t="shared" si="30"/>
        <v>-2.5477707006369428E-2</v>
      </c>
      <c r="V46" s="77">
        <f t="shared" si="30"/>
        <v>-3.9215686274509803E-2</v>
      </c>
      <c r="W46" s="77">
        <f t="shared" si="30"/>
        <v>-0.10034013605442177</v>
      </c>
      <c r="X46" s="77">
        <f t="shared" si="30"/>
        <v>0.17391304347826086</v>
      </c>
      <c r="Y46" s="77">
        <f t="shared" si="30"/>
        <v>-0.1529790660225443</v>
      </c>
      <c r="Z46" s="77">
        <f t="shared" si="30"/>
        <v>-0.33269961977186313</v>
      </c>
      <c r="AA46" s="77">
        <f t="shared" si="30"/>
        <v>-2.8490028490028491E-3</v>
      </c>
      <c r="AB46" s="77">
        <f t="shared" si="30"/>
        <v>5.4285714285714284E-2</v>
      </c>
      <c r="AC46" s="98">
        <f t="shared" si="26"/>
        <v>-5.4366440672525995E-2</v>
      </c>
      <c r="AD46" s="98">
        <f t="shared" si="27"/>
        <v>-3.0661299336083993E-2</v>
      </c>
      <c r="AE46" s="117"/>
      <c r="AF46" s="117"/>
      <c r="AG46" s="117"/>
      <c r="AH46" s="117"/>
      <c r="AI46" s="117"/>
      <c r="AJ46" s="117"/>
      <c r="AK46" s="117"/>
      <c r="AL46" s="117"/>
      <c r="AM46" s="117"/>
      <c r="AN46" s="117"/>
      <c r="AO46" s="117"/>
      <c r="AP46" s="117"/>
    </row>
    <row r="47" spans="1:42">
      <c r="A47" s="72" t="s">
        <v>316</v>
      </c>
      <c r="B47" s="1918"/>
      <c r="C47" s="76"/>
      <c r="D47" s="77">
        <f t="shared" ref="D47:AB47" si="31">D35/C23</f>
        <v>-0.1049808429118774</v>
      </c>
      <c r="E47" s="77">
        <f t="shared" si="31"/>
        <v>-2.2260273972602738E-2</v>
      </c>
      <c r="F47" s="77">
        <f t="shared" si="31"/>
        <v>0.12609457092819615</v>
      </c>
      <c r="G47" s="77">
        <f t="shared" si="31"/>
        <v>-6.2986003110419908E-2</v>
      </c>
      <c r="H47" s="77">
        <f t="shared" si="31"/>
        <v>-2.4896265560165973E-3</v>
      </c>
      <c r="I47" s="77">
        <f t="shared" si="31"/>
        <v>-5.5740432612312811E-2</v>
      </c>
      <c r="J47" s="77">
        <f t="shared" si="31"/>
        <v>0.31894273127753303</v>
      </c>
      <c r="K47" s="77">
        <f t="shared" si="31"/>
        <v>-0.22311289245156982</v>
      </c>
      <c r="L47" s="77">
        <f t="shared" si="31"/>
        <v>1.2037833190025795E-2</v>
      </c>
      <c r="M47" s="77">
        <f t="shared" si="31"/>
        <v>-0.19711129991503823</v>
      </c>
      <c r="N47" s="77">
        <f t="shared" si="31"/>
        <v>0.14391534391534391</v>
      </c>
      <c r="O47" s="77">
        <f t="shared" si="31"/>
        <v>-0.44680851063829785</v>
      </c>
      <c r="P47" s="77">
        <f t="shared" si="31"/>
        <v>-5.016722408026756E-2</v>
      </c>
      <c r="Q47" s="77">
        <f t="shared" si="31"/>
        <v>-3.1690140845070422E-2</v>
      </c>
      <c r="R47" s="77">
        <f t="shared" si="31"/>
        <v>-2.5454545454545455E-2</v>
      </c>
      <c r="S47" s="77">
        <f t="shared" si="31"/>
        <v>-2.2388059701492536E-2</v>
      </c>
      <c r="T47" s="77">
        <f t="shared" si="31"/>
        <v>-2.6717557251908396E-2</v>
      </c>
      <c r="U47" s="77">
        <f t="shared" si="31"/>
        <v>-8.8235294117647065E-2</v>
      </c>
      <c r="V47" s="77">
        <f t="shared" si="31"/>
        <v>-3.870967741935484E-2</v>
      </c>
      <c r="W47" s="77">
        <f t="shared" si="31"/>
        <v>-1.7897091722595078E-2</v>
      </c>
      <c r="X47" s="77">
        <f t="shared" si="31"/>
        <v>-1.5945330296127564E-2</v>
      </c>
      <c r="Y47" s="77">
        <f t="shared" si="31"/>
        <v>-9.2592592592592587E-3</v>
      </c>
      <c r="Z47" s="77">
        <f t="shared" si="31"/>
        <v>-0.3855140186915888</v>
      </c>
      <c r="AA47" s="77">
        <f t="shared" si="31"/>
        <v>-0.11026615969581749</v>
      </c>
      <c r="AB47" s="77">
        <f t="shared" si="31"/>
        <v>0.33760683760683763</v>
      </c>
      <c r="AC47" s="98">
        <f t="shared" si="26"/>
        <v>-3.7732561054895343E-2</v>
      </c>
      <c r="AD47" s="98">
        <f t="shared" si="27"/>
        <v>-3.0699661785333399E-2</v>
      </c>
      <c r="AE47" s="117"/>
      <c r="AF47" s="117"/>
      <c r="AG47" s="117"/>
      <c r="AH47" s="117"/>
      <c r="AI47" s="117"/>
      <c r="AJ47" s="117"/>
      <c r="AK47" s="117"/>
      <c r="AL47" s="117"/>
      <c r="AM47" s="117"/>
      <c r="AN47" s="117"/>
      <c r="AO47" s="117"/>
      <c r="AP47" s="117"/>
    </row>
    <row r="48" spans="1:42">
      <c r="A48" s="72" t="s">
        <v>312</v>
      </c>
      <c r="B48" s="1918"/>
      <c r="C48" s="76"/>
      <c r="D48" s="77">
        <f t="shared" ref="D48:AB48" si="32">D36/C24</f>
        <v>-0.19215686274509805</v>
      </c>
      <c r="E48" s="77">
        <f t="shared" si="32"/>
        <v>-0.11359223300970873</v>
      </c>
      <c r="F48" s="77">
        <f t="shared" si="32"/>
        <v>8.8718510405257398E-2</v>
      </c>
      <c r="G48" s="77">
        <f t="shared" si="32"/>
        <v>-2.012072434607646E-3</v>
      </c>
      <c r="H48" s="77">
        <f t="shared" si="32"/>
        <v>-1.8145161290322582E-2</v>
      </c>
      <c r="I48" s="77">
        <f t="shared" si="32"/>
        <v>-4.1067761806981518E-2</v>
      </c>
      <c r="J48" s="77">
        <f t="shared" si="32"/>
        <v>7.7087794432548179E-2</v>
      </c>
      <c r="K48" s="77">
        <f t="shared" si="32"/>
        <v>1.2922465208747515E-2</v>
      </c>
      <c r="L48" s="77">
        <f t="shared" si="32"/>
        <v>-4.7105004906771344E-2</v>
      </c>
      <c r="M48" s="77">
        <f t="shared" si="32"/>
        <v>0.11637487126673532</v>
      </c>
      <c r="N48" s="77">
        <f t="shared" si="32"/>
        <v>-0.34870848708487084</v>
      </c>
      <c r="O48" s="77">
        <f t="shared" si="32"/>
        <v>-0.16997167138810199</v>
      </c>
      <c r="P48" s="77">
        <f t="shared" si="32"/>
        <v>0.13651877133105803</v>
      </c>
      <c r="Q48" s="77">
        <f t="shared" si="32"/>
        <v>-3.1531531531531529E-2</v>
      </c>
      <c r="R48" s="77">
        <f t="shared" si="32"/>
        <v>3.255813953488372E-2</v>
      </c>
      <c r="S48" s="77">
        <f t="shared" si="32"/>
        <v>-0.12762762762762764</v>
      </c>
      <c r="T48" s="77">
        <f t="shared" si="32"/>
        <v>-4.1308089500860588E-2</v>
      </c>
      <c r="U48" s="77">
        <f t="shared" si="32"/>
        <v>-7.1813285457809697E-3</v>
      </c>
      <c r="V48" s="77">
        <f t="shared" si="32"/>
        <v>-2.3508137432188065E-2</v>
      </c>
      <c r="W48" s="77">
        <f t="shared" si="32"/>
        <v>1.2962962962962963E-2</v>
      </c>
      <c r="X48" s="77">
        <f t="shared" si="32"/>
        <v>-1.8281535648994515E-3</v>
      </c>
      <c r="Y48" s="77">
        <f t="shared" si="32"/>
        <v>7.326007326007326E-3</v>
      </c>
      <c r="Z48" s="77">
        <f t="shared" si="32"/>
        <v>-0.4527272727272727</v>
      </c>
      <c r="AA48" s="77">
        <f t="shared" si="32"/>
        <v>9.9667774086378731E-3</v>
      </c>
      <c r="AB48" s="77">
        <f t="shared" si="32"/>
        <v>0.24342105263157895</v>
      </c>
      <c r="AC48" s="98">
        <f t="shared" si="26"/>
        <v>-3.8050380906944237E-2</v>
      </c>
      <c r="AD48" s="98">
        <f t="shared" si="27"/>
        <v>-2.0015306486559362E-2</v>
      </c>
      <c r="AE48" s="117"/>
      <c r="AF48" s="117"/>
      <c r="AG48" s="117"/>
      <c r="AH48" s="117"/>
      <c r="AI48" s="117"/>
      <c r="AJ48" s="117"/>
      <c r="AK48" s="117"/>
      <c r="AL48" s="117"/>
      <c r="AM48" s="117"/>
      <c r="AN48" s="117"/>
      <c r="AO48" s="117"/>
      <c r="AP48" s="117"/>
    </row>
    <row r="49" spans="1:42">
      <c r="A49" s="72" t="s">
        <v>311</v>
      </c>
      <c r="B49" s="1918"/>
      <c r="C49" s="76"/>
      <c r="D49" s="77">
        <f t="shared" ref="D49:AB49" si="33">D37/C25</f>
        <v>3.814432989690722E-2</v>
      </c>
      <c r="E49" s="77">
        <f t="shared" si="33"/>
        <v>-0.17179741807348561</v>
      </c>
      <c r="F49" s="77">
        <f t="shared" si="33"/>
        <v>2.3980815347721821E-3</v>
      </c>
      <c r="G49" s="77">
        <f t="shared" si="33"/>
        <v>-0.12799043062200957</v>
      </c>
      <c r="H49" s="77">
        <f t="shared" si="33"/>
        <v>-1.7832647462277092E-2</v>
      </c>
      <c r="I49" s="77">
        <f t="shared" si="33"/>
        <v>-7.1229050279329603E-2</v>
      </c>
      <c r="J49" s="77">
        <f t="shared" si="33"/>
        <v>-6.0150375939849628E-3</v>
      </c>
      <c r="K49" s="77">
        <f t="shared" si="33"/>
        <v>2.118003025718608E-2</v>
      </c>
      <c r="L49" s="77">
        <f t="shared" si="33"/>
        <v>0.14222222222222222</v>
      </c>
      <c r="M49" s="77">
        <f t="shared" si="33"/>
        <v>1.1673151750972763E-2</v>
      </c>
      <c r="N49" s="77">
        <f t="shared" si="33"/>
        <v>-0.13333333333333333</v>
      </c>
      <c r="O49" s="77">
        <f t="shared" si="33"/>
        <v>-0.22928994082840237</v>
      </c>
      <c r="P49" s="77">
        <f t="shared" si="33"/>
        <v>-1.5355086372360844E-2</v>
      </c>
      <c r="Q49" s="77">
        <f t="shared" si="33"/>
        <v>2.1442495126705652E-2</v>
      </c>
      <c r="R49" s="77">
        <f t="shared" si="33"/>
        <v>-3.4351145038167941E-2</v>
      </c>
      <c r="S49" s="77">
        <f t="shared" si="33"/>
        <v>2.9644268774703556E-2</v>
      </c>
      <c r="T49" s="77">
        <f t="shared" si="33"/>
        <v>-0.13051823416506717</v>
      </c>
      <c r="U49" s="77">
        <f t="shared" si="33"/>
        <v>-1.9867549668874173E-2</v>
      </c>
      <c r="V49" s="77">
        <f t="shared" si="33"/>
        <v>3.6036036036036036E-2</v>
      </c>
      <c r="W49" s="77">
        <f t="shared" si="33"/>
        <v>0.2391304347826087</v>
      </c>
      <c r="X49" s="77">
        <f t="shared" si="33"/>
        <v>-0.10350877192982456</v>
      </c>
      <c r="Y49" s="77">
        <f t="shared" si="33"/>
        <v>6.4579256360078274E-2</v>
      </c>
      <c r="Z49" s="77">
        <f t="shared" si="33"/>
        <v>-0.27389705882352944</v>
      </c>
      <c r="AA49" s="77">
        <f t="shared" si="33"/>
        <v>5.8227848101265821E-2</v>
      </c>
      <c r="AB49" s="77">
        <f t="shared" si="33"/>
        <v>1.6746411483253589E-2</v>
      </c>
      <c r="AC49" s="98">
        <f t="shared" si="26"/>
        <v>-8.342735904934933E-3</v>
      </c>
      <c r="AD49" s="98">
        <f t="shared" si="27"/>
        <v>1.1398532253133153E-2</v>
      </c>
      <c r="AE49" s="117"/>
      <c r="AF49" s="117"/>
      <c r="AG49" s="117"/>
      <c r="AH49" s="117"/>
      <c r="AI49" s="117"/>
      <c r="AJ49" s="117"/>
      <c r="AK49" s="117"/>
      <c r="AL49" s="117"/>
      <c r="AM49" s="117"/>
      <c r="AN49" s="117"/>
      <c r="AO49" s="117"/>
      <c r="AP49" s="117"/>
    </row>
    <row r="50" spans="1:42">
      <c r="A50" s="72" t="s">
        <v>314</v>
      </c>
      <c r="B50" s="1919"/>
      <c r="C50" s="76"/>
      <c r="D50" s="77">
        <f t="shared" ref="D50:AB50" si="34">D38/C26</f>
        <v>-2.0249221183800622E-2</v>
      </c>
      <c r="E50" s="77">
        <f t="shared" si="34"/>
        <v>-0.17011128775834658</v>
      </c>
      <c r="F50" s="77">
        <f t="shared" si="34"/>
        <v>0.23275862068965517</v>
      </c>
      <c r="G50" s="77">
        <f t="shared" si="34"/>
        <v>-0.18026418026418026</v>
      </c>
      <c r="H50" s="77">
        <f t="shared" si="34"/>
        <v>-6.2559241706161131E-2</v>
      </c>
      <c r="I50" s="77">
        <f t="shared" si="34"/>
        <v>0.10819009100101112</v>
      </c>
      <c r="J50" s="77">
        <f t="shared" si="34"/>
        <v>-0.21259124087591241</v>
      </c>
      <c r="K50" s="77">
        <f t="shared" si="34"/>
        <v>1.0428736964078795E-2</v>
      </c>
      <c r="L50" s="77">
        <f t="shared" si="34"/>
        <v>-6.1926605504587159E-2</v>
      </c>
      <c r="M50" s="77">
        <f t="shared" si="34"/>
        <v>0.14547677261613692</v>
      </c>
      <c r="N50" s="77">
        <f t="shared" si="34"/>
        <v>-0.20277481323372465</v>
      </c>
      <c r="O50" s="77">
        <f t="shared" si="34"/>
        <v>-0.17001338688085676</v>
      </c>
      <c r="P50" s="77">
        <f t="shared" si="34"/>
        <v>-8.5483870967741932E-2</v>
      </c>
      <c r="Q50" s="77">
        <f t="shared" si="34"/>
        <v>6.1728395061728392E-2</v>
      </c>
      <c r="R50" s="77">
        <f t="shared" si="34"/>
        <v>2.1594684385382059E-2</v>
      </c>
      <c r="S50" s="77">
        <f t="shared" si="34"/>
        <v>-0.17886178861788618</v>
      </c>
      <c r="T50" s="77">
        <f t="shared" si="34"/>
        <v>2.3762376237623763E-2</v>
      </c>
      <c r="U50" s="77">
        <f t="shared" si="34"/>
        <v>-0.16634429400386846</v>
      </c>
      <c r="V50" s="77">
        <f t="shared" si="34"/>
        <v>4.1763341067285381E-2</v>
      </c>
      <c r="W50" s="77">
        <f t="shared" si="34"/>
        <v>-1.5590200445434299E-2</v>
      </c>
      <c r="X50" s="77">
        <f t="shared" si="34"/>
        <v>2.7149321266968326E-2</v>
      </c>
      <c r="Y50" s="77">
        <f t="shared" si="34"/>
        <v>-2.2026431718061676E-3</v>
      </c>
      <c r="Z50" s="77">
        <f t="shared" si="34"/>
        <v>-0.44812362030905079</v>
      </c>
      <c r="AA50" s="77">
        <f t="shared" si="34"/>
        <v>3.2000000000000001E-2</v>
      </c>
      <c r="AB50" s="77">
        <f t="shared" si="34"/>
        <v>0.27906976744186046</v>
      </c>
      <c r="AC50" s="98">
        <f t="shared" si="26"/>
        <v>-4.0737774053430792E-2</v>
      </c>
      <c r="AD50" s="98">
        <f t="shared" si="27"/>
        <v>-2.0777867580000796E-2</v>
      </c>
      <c r="AE50" s="117"/>
      <c r="AF50" s="117"/>
      <c r="AG50" s="117"/>
      <c r="AH50" s="117"/>
      <c r="AI50" s="117"/>
      <c r="AJ50" s="117"/>
      <c r="AK50" s="117"/>
      <c r="AL50" s="117"/>
      <c r="AM50" s="117"/>
      <c r="AN50" s="117"/>
      <c r="AO50" s="117"/>
      <c r="AP50" s="117"/>
    </row>
    <row r="51" spans="1:42" s="61" customFormat="1">
      <c r="A51" s="74" t="s">
        <v>203</v>
      </c>
      <c r="B51" s="74"/>
      <c r="C51" s="75"/>
      <c r="D51" s="78">
        <f t="shared" ref="D51:AB51" si="35">D39/C27</f>
        <v>-0.11325107834286287</v>
      </c>
      <c r="E51" s="78">
        <f t="shared" si="35"/>
        <v>-0.11391402714932126</v>
      </c>
      <c r="F51" s="78">
        <f t="shared" si="35"/>
        <v>7.6854334226988383E-2</v>
      </c>
      <c r="G51" s="78">
        <f t="shared" si="35"/>
        <v>-2.1576763485477178E-2</v>
      </c>
      <c r="H51" s="78">
        <f t="shared" si="35"/>
        <v>-2.0598570216890828E-3</v>
      </c>
      <c r="I51" s="78">
        <f t="shared" si="35"/>
        <v>-5.8159300631374457E-2</v>
      </c>
      <c r="J51" s="78">
        <f t="shared" si="35"/>
        <v>1.6114477246358127E-2</v>
      </c>
      <c r="K51" s="78">
        <f t="shared" si="35"/>
        <v>-4.5293072824156302E-2</v>
      </c>
      <c r="L51" s="78">
        <f t="shared" si="35"/>
        <v>1.8604651162790697E-2</v>
      </c>
      <c r="M51" s="78">
        <f t="shared" si="35"/>
        <v>-9.0019569471624268E-3</v>
      </c>
      <c r="N51" s="78">
        <f t="shared" si="35"/>
        <v>-0.15139547130068456</v>
      </c>
      <c r="O51" s="78">
        <f t="shared" si="35"/>
        <v>-0.29599751784052125</v>
      </c>
      <c r="P51" s="78">
        <f t="shared" si="35"/>
        <v>-2.2476862053768181E-2</v>
      </c>
      <c r="Q51" s="78">
        <f t="shared" si="35"/>
        <v>3.944995491433724E-2</v>
      </c>
      <c r="R51" s="78">
        <f t="shared" si="35"/>
        <v>-5.8555627846454128E-3</v>
      </c>
      <c r="S51" s="78">
        <f t="shared" si="35"/>
        <v>-4.2757417102966842E-2</v>
      </c>
      <c r="T51" s="78">
        <f t="shared" si="35"/>
        <v>-9.8450319051959889E-2</v>
      </c>
      <c r="U51" s="78">
        <f t="shared" si="35"/>
        <v>-4.0444893832153692E-3</v>
      </c>
      <c r="V51" s="78">
        <f t="shared" si="35"/>
        <v>5.7106598984771571E-2</v>
      </c>
      <c r="W51" s="78">
        <f t="shared" si="35"/>
        <v>9.2196878751500594E-2</v>
      </c>
      <c r="X51" s="78">
        <f t="shared" si="35"/>
        <v>8.5733128160035171E-2</v>
      </c>
      <c r="Y51" s="78">
        <f t="shared" si="35"/>
        <v>-5.2642235270297629E-3</v>
      </c>
      <c r="Z51" s="78">
        <f t="shared" si="35"/>
        <v>-0.43924282515774477</v>
      </c>
      <c r="AA51" s="78">
        <f t="shared" si="35"/>
        <v>-8.5299455535390201E-2</v>
      </c>
      <c r="AB51" s="78">
        <f t="shared" si="35"/>
        <v>0.20992063492063492</v>
      </c>
      <c r="AC51" s="98">
        <f t="shared" si="26"/>
        <v>-2.3010148894136453E-2</v>
      </c>
      <c r="AD51" s="98">
        <f t="shared" si="27"/>
        <v>1.3123838773425255E-2</v>
      </c>
      <c r="AE51" s="118"/>
      <c r="AF51" s="118"/>
      <c r="AG51" s="118"/>
      <c r="AH51" s="118"/>
      <c r="AI51" s="118"/>
      <c r="AJ51" s="118"/>
      <c r="AK51" s="118"/>
      <c r="AL51" s="118"/>
      <c r="AM51" s="118"/>
      <c r="AN51" s="118"/>
      <c r="AO51" s="118"/>
      <c r="AP51" s="118"/>
    </row>
    <row r="53" spans="1:42" s="111" customFormat="1">
      <c r="A53" s="339">
        <v>5</v>
      </c>
      <c r="B53" s="339" t="s">
        <v>265</v>
      </c>
      <c r="C53" s="1910" t="s">
        <v>322</v>
      </c>
      <c r="D53" s="1910"/>
      <c r="E53" s="1910"/>
      <c r="F53" s="1910"/>
      <c r="G53" s="1910"/>
      <c r="H53" s="1910"/>
      <c r="I53" s="1910"/>
      <c r="J53" s="1910"/>
      <c r="K53" s="1910"/>
      <c r="L53" s="1910"/>
      <c r="M53" s="1910"/>
      <c r="N53" s="1910"/>
      <c r="O53" s="1910"/>
      <c r="P53" s="1910"/>
      <c r="Q53" s="1910"/>
      <c r="R53" s="1910"/>
      <c r="S53" s="1910"/>
      <c r="T53" s="1910"/>
      <c r="U53" s="1910"/>
      <c r="V53" s="1910"/>
      <c r="W53" s="1910"/>
      <c r="X53" s="1910"/>
      <c r="Y53" s="1910"/>
      <c r="Z53" s="1910"/>
      <c r="AA53" s="1910"/>
      <c r="AB53" s="1910"/>
      <c r="AC53" s="86"/>
      <c r="AD53" s="86"/>
      <c r="AE53" s="115"/>
      <c r="AF53" s="115"/>
      <c r="AG53" s="115"/>
      <c r="AH53" s="115"/>
      <c r="AI53" s="115"/>
      <c r="AJ53" s="115"/>
      <c r="AK53" s="115"/>
      <c r="AL53" s="115"/>
      <c r="AM53" s="115"/>
      <c r="AN53" s="115"/>
      <c r="AO53" s="115"/>
      <c r="AP53" s="115"/>
    </row>
    <row r="54" spans="1:42" s="111" customFormat="1">
      <c r="A54" s="339"/>
      <c r="B54" s="339"/>
      <c r="C54" s="72" t="s">
        <v>284</v>
      </c>
      <c r="D54" s="72" t="s">
        <v>285</v>
      </c>
      <c r="E54" s="72" t="s">
        <v>286</v>
      </c>
      <c r="F54" s="72" t="s">
        <v>287</v>
      </c>
      <c r="G54" s="72" t="s">
        <v>288</v>
      </c>
      <c r="H54" s="72" t="s">
        <v>289</v>
      </c>
      <c r="I54" s="72" t="s">
        <v>290</v>
      </c>
      <c r="J54" s="72" t="s">
        <v>291</v>
      </c>
      <c r="K54" s="72" t="s">
        <v>292</v>
      </c>
      <c r="L54" s="72" t="s">
        <v>293</v>
      </c>
      <c r="M54" s="72" t="s">
        <v>294</v>
      </c>
      <c r="N54" s="72" t="s">
        <v>295</v>
      </c>
      <c r="O54" s="72" t="s">
        <v>296</v>
      </c>
      <c r="P54" s="72" t="s">
        <v>297</v>
      </c>
      <c r="Q54" s="72" t="s">
        <v>298</v>
      </c>
      <c r="R54" s="72" t="s">
        <v>299</v>
      </c>
      <c r="S54" s="72" t="s">
        <v>300</v>
      </c>
      <c r="T54" s="72" t="s">
        <v>301</v>
      </c>
      <c r="U54" s="90" t="s">
        <v>302</v>
      </c>
      <c r="V54" s="72" t="s">
        <v>303</v>
      </c>
      <c r="W54" s="72" t="s">
        <v>304</v>
      </c>
      <c r="X54" s="72" t="s">
        <v>305</v>
      </c>
      <c r="Y54" s="72" t="s">
        <v>306</v>
      </c>
      <c r="Z54" s="72" t="s">
        <v>307</v>
      </c>
      <c r="AA54" s="72" t="s">
        <v>308</v>
      </c>
      <c r="AB54" s="72" t="s">
        <v>309</v>
      </c>
      <c r="AC54" s="72" t="s">
        <v>355</v>
      </c>
      <c r="AD54" s="72" t="s">
        <v>356</v>
      </c>
      <c r="AE54" s="72" t="s">
        <v>340</v>
      </c>
      <c r="AF54" s="72" t="s">
        <v>341</v>
      </c>
      <c r="AG54" s="72" t="s">
        <v>342</v>
      </c>
      <c r="AH54" s="72" t="s">
        <v>343</v>
      </c>
      <c r="AI54" s="72" t="s">
        <v>344</v>
      </c>
      <c r="AJ54" s="72" t="s">
        <v>345</v>
      </c>
      <c r="AK54" s="72" t="s">
        <v>346</v>
      </c>
      <c r="AL54" s="72" t="s">
        <v>347</v>
      </c>
      <c r="AM54" s="72" t="s">
        <v>348</v>
      </c>
      <c r="AN54" s="72" t="s">
        <v>349</v>
      </c>
      <c r="AO54" s="72" t="s">
        <v>350</v>
      </c>
      <c r="AP54" s="72" t="s">
        <v>353</v>
      </c>
    </row>
    <row r="55" spans="1:42" s="111" customFormat="1" ht="13.15" customHeight="1">
      <c r="A55" s="340" t="s">
        <v>315</v>
      </c>
      <c r="B55" s="1920" t="s">
        <v>339</v>
      </c>
      <c r="C55" s="1914" t="s">
        <v>861</v>
      </c>
      <c r="D55" s="1915"/>
      <c r="E55" s="1915"/>
      <c r="F55" s="1915"/>
      <c r="G55" s="1915"/>
      <c r="H55" s="1915"/>
      <c r="I55" s="1915"/>
      <c r="J55" s="1915"/>
      <c r="K55" s="1915"/>
      <c r="L55" s="1915"/>
      <c r="M55" s="1915"/>
      <c r="N55" s="1915"/>
      <c r="O55" s="1915"/>
      <c r="P55" s="1915"/>
      <c r="Q55" s="1915"/>
      <c r="R55" s="1915"/>
      <c r="S55" s="1915"/>
      <c r="T55" s="1915"/>
      <c r="U55" s="1916"/>
      <c r="V55" s="120">
        <f>V19*V91</f>
        <v>338376593.44807261</v>
      </c>
      <c r="W55" s="119">
        <v>331039000</v>
      </c>
      <c r="X55" s="119">
        <v>330462000</v>
      </c>
      <c r="Y55" s="119">
        <v>324933000</v>
      </c>
      <c r="Z55" s="119">
        <v>210064000</v>
      </c>
      <c r="AA55" s="119">
        <v>211912000</v>
      </c>
      <c r="AB55" s="119">
        <v>274964000</v>
      </c>
      <c r="AC55" s="168">
        <f>AVERAGE(W55:AB55,AE55)</f>
        <v>283588589.46629643</v>
      </c>
      <c r="AD55" s="168">
        <f t="shared" ref="AD55:AD60" si="36">AVERAGE(W55:Y55)</f>
        <v>328811333.33333331</v>
      </c>
      <c r="AE55" s="120">
        <f>AB55+AB55*$AE$87</f>
        <v>301746126.2640751</v>
      </c>
      <c r="AF55" s="120">
        <f>AE55</f>
        <v>301746126.2640751</v>
      </c>
      <c r="AG55" s="120">
        <f>AF55+AF55*$AD$79</f>
        <v>297706870.68431443</v>
      </c>
      <c r="AH55" s="120">
        <f t="shared" ref="AH55:AO55" si="37">AG55+AG55*$AD$79</f>
        <v>293721685.67652971</v>
      </c>
      <c r="AI55" s="120">
        <f t="shared" si="37"/>
        <v>289789847.43736261</v>
      </c>
      <c r="AJ55" s="120">
        <f t="shared" si="37"/>
        <v>285910641.85248309</v>
      </c>
      <c r="AK55" s="120">
        <f t="shared" si="37"/>
        <v>282083364.36688942</v>
      </c>
      <c r="AL55" s="120">
        <f t="shared" si="37"/>
        <v>278307319.85694444</v>
      </c>
      <c r="AM55" s="120">
        <f t="shared" si="37"/>
        <v>274581822.50412476</v>
      </c>
      <c r="AN55" s="120">
        <f t="shared" si="37"/>
        <v>270906195.67045993</v>
      </c>
      <c r="AO55" s="120">
        <f t="shared" si="37"/>
        <v>267279771.77563915</v>
      </c>
      <c r="AP55" s="79"/>
    </row>
    <row r="56" spans="1:42" s="111" customFormat="1" ht="13.15" customHeight="1">
      <c r="A56" s="340" t="s">
        <v>310</v>
      </c>
      <c r="B56" s="1921"/>
      <c r="C56" s="1914" t="s">
        <v>856</v>
      </c>
      <c r="D56" s="1915"/>
      <c r="E56" s="1915"/>
      <c r="F56" s="1915"/>
      <c r="G56" s="1915"/>
      <c r="H56" s="1915"/>
      <c r="I56" s="1915"/>
      <c r="J56" s="1915"/>
      <c r="K56" s="1915"/>
      <c r="L56" s="1915"/>
      <c r="M56" s="1915"/>
      <c r="N56" s="1915"/>
      <c r="O56" s="1915"/>
      <c r="P56" s="1915"/>
      <c r="Q56" s="1915"/>
      <c r="R56" s="1915"/>
      <c r="S56" s="1915"/>
      <c r="T56" s="1915"/>
      <c r="U56" s="1916"/>
      <c r="V56" s="120">
        <f t="shared" ref="V56" si="38">V20*V92</f>
        <v>476117497.70296037</v>
      </c>
      <c r="W56" s="120">
        <f t="shared" ref="W56:AB56" si="39">W20*W92</f>
        <v>700209305.61791301</v>
      </c>
      <c r="X56" s="120">
        <f t="shared" si="39"/>
        <v>932991654.56003845</v>
      </c>
      <c r="Y56" s="120">
        <f t="shared" si="39"/>
        <v>962787795.22463048</v>
      </c>
      <c r="Z56" s="120">
        <f t="shared" si="39"/>
        <v>425215757.400949</v>
      </c>
      <c r="AA56" s="120">
        <f t="shared" si="39"/>
        <v>306651947.67309314</v>
      </c>
      <c r="AB56" s="120">
        <f t="shared" si="39"/>
        <v>369347993.65483886</v>
      </c>
      <c r="AC56" s="108">
        <f t="shared" ref="AC56:AC62" si="40">AVERAGE(W56:AB56,AE56)</f>
        <v>586075398.88575518</v>
      </c>
      <c r="AD56" s="108">
        <f t="shared" si="36"/>
        <v>865329585.1341939</v>
      </c>
      <c r="AE56" s="120">
        <f t="shared" ref="AE56:AE60" si="41">AB56+AB56*$AE$87</f>
        <v>405323338.06882292</v>
      </c>
      <c r="AF56" s="120">
        <f t="shared" ref="AF56:AF62" si="42">AE56</f>
        <v>405323338.06882292</v>
      </c>
      <c r="AG56" s="120">
        <f>AF56+AF56*$AD$87</f>
        <v>411460048.12104541</v>
      </c>
      <c r="AH56" s="120">
        <f t="shared" ref="AH56:AO56" si="43">AG56+AG56*$AD$87</f>
        <v>417689669.70025885</v>
      </c>
      <c r="AI56" s="120">
        <f t="shared" si="43"/>
        <v>424013609.51327753</v>
      </c>
      <c r="AJ56" s="120">
        <f t="shared" si="43"/>
        <v>430433295.5648551</v>
      </c>
      <c r="AK56" s="120">
        <f t="shared" si="43"/>
        <v>436950177.48014116</v>
      </c>
      <c r="AL56" s="120">
        <f t="shared" si="43"/>
        <v>443565726.83202052</v>
      </c>
      <c r="AM56" s="120">
        <f t="shared" si="43"/>
        <v>450281437.47340786</v>
      </c>
      <c r="AN56" s="120">
        <f t="shared" si="43"/>
        <v>457098825.87457383</v>
      </c>
      <c r="AO56" s="120">
        <f t="shared" si="43"/>
        <v>464019431.46557808</v>
      </c>
      <c r="AP56" s="79"/>
    </row>
    <row r="57" spans="1:42" s="111" customFormat="1" ht="13.15" customHeight="1">
      <c r="A57" s="340" t="s">
        <v>317</v>
      </c>
      <c r="B57" s="1921"/>
      <c r="C57" s="1914" t="s">
        <v>857</v>
      </c>
      <c r="D57" s="1915"/>
      <c r="E57" s="1915"/>
      <c r="F57" s="1915"/>
      <c r="G57" s="1915"/>
      <c r="H57" s="1915"/>
      <c r="I57" s="1915"/>
      <c r="J57" s="1915"/>
      <c r="K57" s="1915"/>
      <c r="L57" s="1915"/>
      <c r="M57" s="1915"/>
      <c r="N57" s="1915"/>
      <c r="O57" s="1915"/>
      <c r="P57" s="1915"/>
      <c r="Q57" s="1915"/>
      <c r="R57" s="1915"/>
      <c r="S57" s="1915"/>
      <c r="T57" s="1915"/>
      <c r="U57" s="1916"/>
      <c r="V57" s="120">
        <f t="shared" ref="V57:AB57" si="44">V21*V93</f>
        <v>257612466.16261873</v>
      </c>
      <c r="W57" s="120">
        <f t="shared" si="44"/>
        <v>248301172.2049337</v>
      </c>
      <c r="X57" s="120">
        <f t="shared" si="44"/>
        <v>237748372.38622403</v>
      </c>
      <c r="Y57" s="120">
        <f t="shared" si="44"/>
        <v>241472889.96929803</v>
      </c>
      <c r="Z57" s="120">
        <f t="shared" si="44"/>
        <v>140910915.22629988</v>
      </c>
      <c r="AA57" s="120">
        <f t="shared" si="44"/>
        <v>127875103.68554085</v>
      </c>
      <c r="AB57" s="120">
        <f t="shared" si="44"/>
        <v>181880608.64011395</v>
      </c>
      <c r="AC57" s="108">
        <f t="shared" si="40"/>
        <v>196826465.78896743</v>
      </c>
      <c r="AD57" s="108">
        <f t="shared" si="36"/>
        <v>242507478.1868186</v>
      </c>
      <c r="AE57" s="120">
        <f t="shared" si="41"/>
        <v>199596198.41036156</v>
      </c>
      <c r="AF57" s="120">
        <f t="shared" si="42"/>
        <v>199596198.41036156</v>
      </c>
      <c r="AG57" s="120">
        <f>AF57+AF57*$AD$81</f>
        <v>202618141.34364086</v>
      </c>
      <c r="AH57" s="120">
        <f t="shared" ref="AH57:AO57" si="45">AG57+AG57*$AD$81</f>
        <v>205685837.34819472</v>
      </c>
      <c r="AI57" s="120">
        <f t="shared" si="45"/>
        <v>208799979.13847116</v>
      </c>
      <c r="AJ57" s="120">
        <f t="shared" si="45"/>
        <v>211961269.91681102</v>
      </c>
      <c r="AK57" s="120">
        <f t="shared" si="45"/>
        <v>215170423.53223762</v>
      </c>
      <c r="AL57" s="120">
        <f t="shared" si="45"/>
        <v>218428164.6416505</v>
      </c>
      <c r="AM57" s="120">
        <f t="shared" si="45"/>
        <v>221735228.87345973</v>
      </c>
      <c r="AN57" s="120">
        <f t="shared" si="45"/>
        <v>225092362.99369773</v>
      </c>
      <c r="AO57" s="120">
        <f t="shared" si="45"/>
        <v>228500325.07464603</v>
      </c>
      <c r="AP57" s="79"/>
    </row>
    <row r="58" spans="1:42" s="111" customFormat="1" ht="13.15" customHeight="1">
      <c r="A58" s="340" t="s">
        <v>313</v>
      </c>
      <c r="B58" s="1921"/>
      <c r="C58" s="1914" t="s">
        <v>859</v>
      </c>
      <c r="D58" s="1915"/>
      <c r="E58" s="1915"/>
      <c r="F58" s="1915"/>
      <c r="G58" s="1915"/>
      <c r="H58" s="1915"/>
      <c r="I58" s="1915"/>
      <c r="J58" s="1915"/>
      <c r="K58" s="1915"/>
      <c r="L58" s="1915"/>
      <c r="M58" s="1915"/>
      <c r="N58" s="1915"/>
      <c r="O58" s="1915"/>
      <c r="P58" s="1915"/>
      <c r="Q58" s="1915"/>
      <c r="R58" s="1915"/>
      <c r="S58" s="1915"/>
      <c r="T58" s="1915"/>
      <c r="U58" s="1916"/>
      <c r="V58" s="120">
        <f t="shared" ref="V58:AB58" si="46">V22*V94</f>
        <v>365002723.14125258</v>
      </c>
      <c r="W58" s="120">
        <f t="shared" si="46"/>
        <v>328378300.24102485</v>
      </c>
      <c r="X58" s="120">
        <f t="shared" si="46"/>
        <v>385487569.84815955</v>
      </c>
      <c r="Y58" s="120">
        <f t="shared" si="46"/>
        <v>326516041.44948781</v>
      </c>
      <c r="Z58" s="120">
        <f t="shared" si="46"/>
        <v>217884278.60982934</v>
      </c>
      <c r="AA58" s="120">
        <f t="shared" si="46"/>
        <v>217263525.679317</v>
      </c>
      <c r="AB58" s="120">
        <f t="shared" si="46"/>
        <v>229057831.35905135</v>
      </c>
      <c r="AC58" s="108">
        <f t="shared" si="40"/>
        <v>279422305.47985196</v>
      </c>
      <c r="AD58" s="108">
        <f t="shared" si="36"/>
        <v>346793970.51289076</v>
      </c>
      <c r="AE58" s="120">
        <f t="shared" si="41"/>
        <v>251368591.17209354</v>
      </c>
      <c r="AF58" s="120">
        <f t="shared" si="42"/>
        <v>251368591.17209354</v>
      </c>
      <c r="AG58" s="120">
        <f>AF58+AF58*$AD$82</f>
        <v>255174382.78431219</v>
      </c>
      <c r="AH58" s="120">
        <f t="shared" ref="AH58:AO58" si="47">AG58+AG58*$AD$82</f>
        <v>259037795.15864792</v>
      </c>
      <c r="AI58" s="120">
        <f t="shared" si="47"/>
        <v>262959700.68974692</v>
      </c>
      <c r="AJ58" s="120">
        <f t="shared" si="47"/>
        <v>266940984.9805572</v>
      </c>
      <c r="AK58" s="120">
        <f t="shared" si="47"/>
        <v>270982547.04230607</v>
      </c>
      <c r="AL58" s="120">
        <f t="shared" si="47"/>
        <v>275085299.49750519</v>
      </c>
      <c r="AM58" s="120">
        <f t="shared" si="47"/>
        <v>279250168.78602946</v>
      </c>
      <c r="AN58" s="120">
        <f t="shared" si="47"/>
        <v>283478095.37431556</v>
      </c>
      <c r="AO58" s="120">
        <f t="shared" si="47"/>
        <v>287770033.96772826</v>
      </c>
      <c r="AP58" s="79"/>
    </row>
    <row r="59" spans="1:42" s="111" customFormat="1" ht="13.15" customHeight="1">
      <c r="A59" s="340" t="s">
        <v>316</v>
      </c>
      <c r="B59" s="1921"/>
      <c r="C59" s="1914" t="s">
        <v>858</v>
      </c>
      <c r="D59" s="1915"/>
      <c r="E59" s="1915"/>
      <c r="F59" s="1915"/>
      <c r="G59" s="1915"/>
      <c r="H59" s="1915"/>
      <c r="I59" s="1915"/>
      <c r="J59" s="1915"/>
      <c r="K59" s="1915"/>
      <c r="L59" s="1915"/>
      <c r="M59" s="1915"/>
      <c r="N59" s="1915"/>
      <c r="O59" s="1915"/>
      <c r="P59" s="1915"/>
      <c r="Q59" s="1915"/>
      <c r="R59" s="1915"/>
      <c r="S59" s="1915"/>
      <c r="T59" s="1915"/>
      <c r="U59" s="1916"/>
      <c r="V59" s="120">
        <f t="shared" ref="V59:AB59" si="48">V23*V95</f>
        <v>277476559.93901342</v>
      </c>
      <c r="W59" s="120">
        <f t="shared" si="48"/>
        <v>272510536.49491477</v>
      </c>
      <c r="X59" s="120">
        <f t="shared" si="48"/>
        <v>268165265.9813284</v>
      </c>
      <c r="Y59" s="120">
        <f t="shared" si="48"/>
        <v>265682254.25927907</v>
      </c>
      <c r="Z59" s="120">
        <f t="shared" si="48"/>
        <v>163258020.7247439</v>
      </c>
      <c r="AA59" s="120">
        <f t="shared" si="48"/>
        <v>145256185.73988622</v>
      </c>
      <c r="AB59" s="120">
        <f t="shared" si="48"/>
        <v>194295667.25036064</v>
      </c>
      <c r="AC59" s="108">
        <f t="shared" si="40"/>
        <v>217484063.24936301</v>
      </c>
      <c r="AD59" s="108">
        <f t="shared" si="36"/>
        <v>268786018.91184074</v>
      </c>
      <c r="AE59" s="120">
        <f t="shared" si="41"/>
        <v>213220512.29502788</v>
      </c>
      <c r="AF59" s="120">
        <f t="shared" si="42"/>
        <v>213220512.29502788</v>
      </c>
      <c r="AG59" s="120">
        <f>AF59+AF59*$AD$83</f>
        <v>216448731.19644913</v>
      </c>
      <c r="AH59" s="120">
        <f t="shared" ref="AH59:AO59" si="49">AG59+AG59*$AD$83</f>
        <v>219725826.24568242</v>
      </c>
      <c r="AI59" s="120">
        <f t="shared" si="49"/>
        <v>223052537.44143847</v>
      </c>
      <c r="AJ59" s="120">
        <f t="shared" si="49"/>
        <v>226429615.98621792</v>
      </c>
      <c r="AK59" s="120">
        <f t="shared" si="49"/>
        <v>229857824.45593983</v>
      </c>
      <c r="AL59" s="120">
        <f t="shared" si="49"/>
        <v>233337936.97213855</v>
      </c>
      <c r="AM59" s="120">
        <f t="shared" si="49"/>
        <v>236870739.37676752</v>
      </c>
      <c r="AN59" s="120">
        <f t="shared" si="49"/>
        <v>240457029.40964976</v>
      </c>
      <c r="AO59" s="120">
        <f t="shared" si="49"/>
        <v>244097616.88861501</v>
      </c>
      <c r="AP59" s="79"/>
    </row>
    <row r="60" spans="1:42" s="111" customFormat="1" ht="13.15" customHeight="1">
      <c r="A60" s="340" t="s">
        <v>312</v>
      </c>
      <c r="B60" s="1921"/>
      <c r="C60" s="1914" t="s">
        <v>855</v>
      </c>
      <c r="D60" s="1915"/>
      <c r="E60" s="1915"/>
      <c r="F60" s="1915"/>
      <c r="G60" s="1915"/>
      <c r="H60" s="1915"/>
      <c r="I60" s="1915"/>
      <c r="J60" s="1915"/>
      <c r="K60" s="1915"/>
      <c r="L60" s="1915"/>
      <c r="M60" s="1915"/>
      <c r="N60" s="1915"/>
      <c r="O60" s="1915"/>
      <c r="P60" s="1915"/>
      <c r="Q60" s="1915"/>
      <c r="R60" s="1915"/>
      <c r="S60" s="1915"/>
      <c r="T60" s="1915"/>
      <c r="U60" s="1916"/>
      <c r="V60" s="120">
        <f t="shared" ref="V60" si="50">V24*V96</f>
        <v>275311563.49335676</v>
      </c>
      <c r="W60" s="119">
        <v>284354819</v>
      </c>
      <c r="X60" s="119">
        <v>274913009.57709104</v>
      </c>
      <c r="Y60" s="119">
        <v>278388401.21339118</v>
      </c>
      <c r="Z60" s="119">
        <v>183369075.17559963</v>
      </c>
      <c r="AA60" s="119">
        <v>204280166.06080419</v>
      </c>
      <c r="AB60" s="119">
        <v>265786864.66060847</v>
      </c>
      <c r="AC60" s="168">
        <f t="shared" si="40"/>
        <v>254681064.64492437</v>
      </c>
      <c r="AD60" s="168">
        <f t="shared" si="36"/>
        <v>279218743.26349407</v>
      </c>
      <c r="AE60" s="120">
        <f t="shared" si="41"/>
        <v>291675116.82697594</v>
      </c>
      <c r="AF60" s="120">
        <f t="shared" si="42"/>
        <v>291675116.82697594</v>
      </c>
      <c r="AG60" s="120">
        <f>AF60+AF60*$AD$84</f>
        <v>292869508.34164459</v>
      </c>
      <c r="AH60" s="120">
        <f t="shared" ref="AH60:AO60" si="51">AG60+AG60*$AD$84</f>
        <v>294068790.81549352</v>
      </c>
      <c r="AI60" s="120">
        <f t="shared" si="51"/>
        <v>295272984.27669728</v>
      </c>
      <c r="AJ60" s="120">
        <f t="shared" si="51"/>
        <v>296482108.83544451</v>
      </c>
      <c r="AK60" s="120">
        <f t="shared" si="51"/>
        <v>297696184.6842739</v>
      </c>
      <c r="AL60" s="120">
        <f t="shared" si="51"/>
        <v>298915232.0984112</v>
      </c>
      <c r="AM60" s="120">
        <f t="shared" si="51"/>
        <v>300139271.43610805</v>
      </c>
      <c r="AN60" s="120">
        <f t="shared" si="51"/>
        <v>301368323.13898188</v>
      </c>
      <c r="AO60" s="120">
        <f t="shared" si="51"/>
        <v>302602407.7323572</v>
      </c>
      <c r="AP60" s="79"/>
    </row>
    <row r="61" spans="1:42" s="111" customFormat="1" ht="13.15" customHeight="1">
      <c r="A61" s="340" t="s">
        <v>311</v>
      </c>
      <c r="B61" s="1921"/>
      <c r="C61" s="1914" t="s">
        <v>859</v>
      </c>
      <c r="D61" s="1915"/>
      <c r="E61" s="1915"/>
      <c r="F61" s="1915"/>
      <c r="G61" s="1915"/>
      <c r="H61" s="1915"/>
      <c r="I61" s="1915"/>
      <c r="J61" s="1915"/>
      <c r="K61" s="1915"/>
      <c r="L61" s="1915"/>
      <c r="M61" s="1915"/>
      <c r="N61" s="1915"/>
      <c r="O61" s="1915"/>
      <c r="P61" s="1915"/>
      <c r="Q61" s="1915"/>
      <c r="R61" s="1915"/>
      <c r="S61" s="1915"/>
      <c r="T61" s="1915"/>
      <c r="U61" s="1916"/>
      <c r="V61" s="120">
        <f t="shared" ref="V61:X61" si="52">V25*V97</f>
        <v>178901891.02941176</v>
      </c>
      <c r="W61" s="120">
        <f t="shared" si="52"/>
        <v>221682778.0147059</v>
      </c>
      <c r="X61" s="120">
        <f t="shared" si="52"/>
        <v>198736665.90441176</v>
      </c>
      <c r="Y61" s="119">
        <v>211570932</v>
      </c>
      <c r="Z61" s="119">
        <v>133983946</v>
      </c>
      <c r="AA61" s="119">
        <v>131479397</v>
      </c>
      <c r="AB61" s="119">
        <v>178469412</v>
      </c>
      <c r="AC61" s="168">
        <f t="shared" si="40"/>
        <v>181067578.98844537</v>
      </c>
      <c r="AD61" s="168">
        <f t="shared" ref="AD61:AD62" si="53">AVERAGE(W61:Y61)</f>
        <v>210663458.6397059</v>
      </c>
      <c r="AE61" s="169">
        <v>191549922</v>
      </c>
      <c r="AF61" s="120">
        <f t="shared" si="42"/>
        <v>191549922</v>
      </c>
      <c r="AG61" s="120">
        <f>AF61+AF61*$AD$85</f>
        <v>204332745.48651737</v>
      </c>
      <c r="AH61" s="120">
        <f t="shared" ref="AH61:AO61" si="54">AG61+AG61*$AD$85</f>
        <v>217968613.3104136</v>
      </c>
      <c r="AI61" s="120">
        <f t="shared" si="54"/>
        <v>232514452.22517952</v>
      </c>
      <c r="AJ61" s="120">
        <f t="shared" si="54"/>
        <v>248030987.91376489</v>
      </c>
      <c r="AK61" s="120">
        <f t="shared" si="54"/>
        <v>264582998.50496826</v>
      </c>
      <c r="AL61" s="120">
        <f t="shared" si="54"/>
        <v>282239585.00789827</v>
      </c>
      <c r="AM61" s="120">
        <f t="shared" si="54"/>
        <v>301074459.79351097</v>
      </c>
      <c r="AN61" s="120">
        <f t="shared" si="54"/>
        <v>321166254.32756996</v>
      </c>
      <c r="AO61" s="120">
        <f t="shared" si="54"/>
        <v>342598847.4397471</v>
      </c>
      <c r="AP61" s="79"/>
    </row>
    <row r="62" spans="1:42" s="111" customFormat="1" ht="13.15" customHeight="1">
      <c r="A62" s="340" t="s">
        <v>314</v>
      </c>
      <c r="B62" s="1922"/>
      <c r="C62" s="1914" t="s">
        <v>860</v>
      </c>
      <c r="D62" s="1915"/>
      <c r="E62" s="1915"/>
      <c r="F62" s="1915"/>
      <c r="G62" s="1915"/>
      <c r="H62" s="1915"/>
      <c r="I62" s="1915"/>
      <c r="J62" s="1915"/>
      <c r="K62" s="1915"/>
      <c r="L62" s="1915"/>
      <c r="M62" s="1915"/>
      <c r="N62" s="1915"/>
      <c r="O62" s="1915"/>
      <c r="P62" s="1915"/>
      <c r="Q62" s="1915"/>
      <c r="R62" s="1915"/>
      <c r="S62" s="1915"/>
      <c r="T62" s="1915"/>
      <c r="U62" s="1916"/>
      <c r="V62" s="120">
        <f t="shared" ref="V62:X62" si="55">V26*V98</f>
        <v>326509428.03973514</v>
      </c>
      <c r="W62" s="120">
        <f t="shared" si="55"/>
        <v>321419080.60927153</v>
      </c>
      <c r="X62" s="120">
        <f t="shared" si="55"/>
        <v>330145390.49006623</v>
      </c>
      <c r="Y62" s="119">
        <v>329418198</v>
      </c>
      <c r="Z62" s="119">
        <v>206315367</v>
      </c>
      <c r="AA62" s="119">
        <v>220131974</v>
      </c>
      <c r="AB62" s="119">
        <v>291945139</v>
      </c>
      <c r="AC62" s="168">
        <f t="shared" si="40"/>
        <v>289542155.58561969</v>
      </c>
      <c r="AD62" s="168">
        <f t="shared" si="53"/>
        <v>326994223.03311259</v>
      </c>
      <c r="AE62" s="119">
        <v>327419940</v>
      </c>
      <c r="AF62" s="120">
        <f t="shared" si="42"/>
        <v>327419940</v>
      </c>
      <c r="AG62" s="120">
        <f>AF62+AF62*$AD$86</f>
        <v>328441105.78356171</v>
      </c>
      <c r="AH62" s="120">
        <f t="shared" ref="AH62:AO62" si="56">AG62+AG62*$AD$86</f>
        <v>329465456.40540028</v>
      </c>
      <c r="AI62" s="120">
        <f t="shared" si="56"/>
        <v>330493001.79847175</v>
      </c>
      <c r="AJ62" s="120">
        <f t="shared" si="56"/>
        <v>331523751.92671138</v>
      </c>
      <c r="AK62" s="120">
        <f t="shared" si="56"/>
        <v>332557716.78513008</v>
      </c>
      <c r="AL62" s="120">
        <f t="shared" si="56"/>
        <v>333594906.39991158</v>
      </c>
      <c r="AM62" s="120">
        <f t="shared" si="56"/>
        <v>334635330.82850951</v>
      </c>
      <c r="AN62" s="120">
        <f t="shared" si="56"/>
        <v>335679000.15974492</v>
      </c>
      <c r="AO62" s="120">
        <f t="shared" si="56"/>
        <v>336725924.51390409</v>
      </c>
      <c r="AP62" s="79"/>
    </row>
    <row r="63" spans="1:42" s="112" customFormat="1">
      <c r="A63" s="341" t="s">
        <v>203</v>
      </c>
      <c r="B63" s="341"/>
      <c r="C63" s="80">
        <f t="shared" ref="C63:AO63" si="57">SUM(C55:C62)</f>
        <v>0</v>
      </c>
      <c r="D63" s="80">
        <f t="shared" si="57"/>
        <v>0</v>
      </c>
      <c r="E63" s="80">
        <f t="shared" si="57"/>
        <v>0</v>
      </c>
      <c r="F63" s="80">
        <f t="shared" si="57"/>
        <v>0</v>
      </c>
      <c r="G63" s="80">
        <f t="shared" si="57"/>
        <v>0</v>
      </c>
      <c r="H63" s="80">
        <f t="shared" si="57"/>
        <v>0</v>
      </c>
      <c r="I63" s="80">
        <f t="shared" si="57"/>
        <v>0</v>
      </c>
      <c r="J63" s="80">
        <f t="shared" si="57"/>
        <v>0</v>
      </c>
      <c r="K63" s="80">
        <f t="shared" si="57"/>
        <v>0</v>
      </c>
      <c r="L63" s="80">
        <f t="shared" si="57"/>
        <v>0</v>
      </c>
      <c r="M63" s="80">
        <f t="shared" si="57"/>
        <v>0</v>
      </c>
      <c r="N63" s="80">
        <f t="shared" si="57"/>
        <v>0</v>
      </c>
      <c r="O63" s="80">
        <f t="shared" si="57"/>
        <v>0</v>
      </c>
      <c r="P63" s="80">
        <f t="shared" si="57"/>
        <v>0</v>
      </c>
      <c r="Q63" s="80">
        <f t="shared" si="57"/>
        <v>0</v>
      </c>
      <c r="R63" s="80">
        <f t="shared" si="57"/>
        <v>0</v>
      </c>
      <c r="S63" s="80">
        <f t="shared" si="57"/>
        <v>0</v>
      </c>
      <c r="T63" s="80">
        <f t="shared" si="57"/>
        <v>0</v>
      </c>
      <c r="U63" s="365">
        <f t="shared" si="57"/>
        <v>0</v>
      </c>
      <c r="V63" s="80">
        <f t="shared" si="57"/>
        <v>2495308722.9564214</v>
      </c>
      <c r="W63" s="80">
        <f t="shared" si="57"/>
        <v>2707894992.1827636</v>
      </c>
      <c r="X63" s="80">
        <f t="shared" si="57"/>
        <v>2958649928.7473197</v>
      </c>
      <c r="Y63" s="80">
        <f t="shared" si="57"/>
        <v>2940769512.1160865</v>
      </c>
      <c r="Z63" s="80">
        <f t="shared" si="57"/>
        <v>1681001360.1374216</v>
      </c>
      <c r="AA63" s="80">
        <f t="shared" si="57"/>
        <v>1564850299.8386414</v>
      </c>
      <c r="AB63" s="80">
        <f t="shared" si="57"/>
        <v>1985747516.5649734</v>
      </c>
      <c r="AC63" s="101">
        <f>AVERAGE(AC55,AC60,AC61,AC62)</f>
        <v>252219847.17132148</v>
      </c>
      <c r="AD63" s="101">
        <f>AVERAGE(AD55,AD60,AD61,AD62)</f>
        <v>286421939.56741148</v>
      </c>
      <c r="AE63" s="101">
        <f>AVERAGE(AE61,AE62)</f>
        <v>259484931</v>
      </c>
      <c r="AF63" s="80">
        <f t="shared" si="57"/>
        <v>2181899745.0373569</v>
      </c>
      <c r="AG63" s="80">
        <f t="shared" si="57"/>
        <v>2209051533.7414856</v>
      </c>
      <c r="AH63" s="80">
        <f t="shared" si="57"/>
        <v>2237363674.6606212</v>
      </c>
      <c r="AI63" s="80">
        <f t="shared" si="57"/>
        <v>2266896112.5206451</v>
      </c>
      <c r="AJ63" s="80">
        <f t="shared" si="57"/>
        <v>2297712656.9768453</v>
      </c>
      <c r="AK63" s="80">
        <f t="shared" si="57"/>
        <v>2329881236.8518863</v>
      </c>
      <c r="AL63" s="80">
        <f t="shared" si="57"/>
        <v>2363474171.3064804</v>
      </c>
      <c r="AM63" s="80">
        <f t="shared" si="57"/>
        <v>2398568459.0719175</v>
      </c>
      <c r="AN63" s="80">
        <f t="shared" si="57"/>
        <v>2435246086.9489937</v>
      </c>
      <c r="AO63" s="80">
        <f t="shared" si="57"/>
        <v>2473594358.8582149</v>
      </c>
      <c r="AP63" s="79"/>
    </row>
    <row r="64" spans="1:42" s="111" customFormat="1"/>
    <row r="65" spans="1:42" s="111" customFormat="1">
      <c r="A65" s="71">
        <v>6</v>
      </c>
      <c r="B65" s="71" t="s">
        <v>265</v>
      </c>
      <c r="C65" s="1910" t="s">
        <v>323</v>
      </c>
      <c r="D65" s="1910"/>
      <c r="E65" s="1910"/>
      <c r="F65" s="1910"/>
      <c r="G65" s="1910"/>
      <c r="H65" s="1910"/>
      <c r="I65" s="1910"/>
      <c r="J65" s="1910"/>
      <c r="K65" s="1910"/>
      <c r="L65" s="1910"/>
      <c r="M65" s="1910"/>
      <c r="N65" s="1910"/>
      <c r="O65" s="1910"/>
      <c r="P65" s="1910"/>
      <c r="Q65" s="1910"/>
      <c r="R65" s="1910"/>
      <c r="S65" s="1910"/>
      <c r="T65" s="1910"/>
      <c r="U65" s="1910"/>
      <c r="V65" s="1910"/>
      <c r="W65" s="1910"/>
      <c r="X65" s="1910"/>
      <c r="Y65" s="1910"/>
      <c r="Z65" s="1910"/>
      <c r="AA65" s="1910"/>
      <c r="AB65" s="1910"/>
      <c r="AC65" s="86"/>
      <c r="AD65" s="86"/>
      <c r="AE65" s="115"/>
      <c r="AF65" s="115"/>
      <c r="AG65" s="115"/>
      <c r="AH65" s="115"/>
      <c r="AI65" s="115"/>
      <c r="AJ65" s="115"/>
      <c r="AK65" s="115"/>
      <c r="AL65" s="115"/>
      <c r="AM65" s="115"/>
      <c r="AN65" s="115"/>
      <c r="AO65" s="115"/>
      <c r="AP65" s="115"/>
    </row>
    <row r="66" spans="1:42" s="111" customFormat="1">
      <c r="A66" s="71"/>
      <c r="B66" s="71"/>
      <c r="C66" s="72" t="s">
        <v>284</v>
      </c>
      <c r="D66" s="72" t="s">
        <v>285</v>
      </c>
      <c r="E66" s="72" t="s">
        <v>286</v>
      </c>
      <c r="F66" s="72" t="s">
        <v>287</v>
      </c>
      <c r="G66" s="72" t="s">
        <v>288</v>
      </c>
      <c r="H66" s="72" t="s">
        <v>289</v>
      </c>
      <c r="I66" s="72" t="s">
        <v>290</v>
      </c>
      <c r="J66" s="72" t="s">
        <v>291</v>
      </c>
      <c r="K66" s="72" t="s">
        <v>292</v>
      </c>
      <c r="L66" s="72" t="s">
        <v>293</v>
      </c>
      <c r="M66" s="72" t="s">
        <v>294</v>
      </c>
      <c r="N66" s="72" t="s">
        <v>295</v>
      </c>
      <c r="O66" s="72" t="s">
        <v>296</v>
      </c>
      <c r="P66" s="72" t="s">
        <v>297</v>
      </c>
      <c r="Q66" s="72" t="s">
        <v>298</v>
      </c>
      <c r="R66" s="72" t="s">
        <v>299</v>
      </c>
      <c r="S66" s="72" t="s">
        <v>300</v>
      </c>
      <c r="T66" s="72" t="s">
        <v>301</v>
      </c>
      <c r="U66" s="72" t="s">
        <v>302</v>
      </c>
      <c r="V66" s="72" t="s">
        <v>303</v>
      </c>
      <c r="W66" s="72" t="s">
        <v>304</v>
      </c>
      <c r="X66" s="72" t="s">
        <v>305</v>
      </c>
      <c r="Y66" s="72" t="s">
        <v>306</v>
      </c>
      <c r="Z66" s="72" t="s">
        <v>307</v>
      </c>
      <c r="AA66" s="72" t="s">
        <v>308</v>
      </c>
      <c r="AB66" s="72" t="s">
        <v>309</v>
      </c>
      <c r="AC66" s="72" t="s">
        <v>355</v>
      </c>
      <c r="AD66" s="72" t="s">
        <v>356</v>
      </c>
      <c r="AE66" s="72" t="s">
        <v>340</v>
      </c>
      <c r="AF66" s="72" t="s">
        <v>341</v>
      </c>
      <c r="AG66" s="72" t="s">
        <v>342</v>
      </c>
      <c r="AH66" s="72" t="s">
        <v>343</v>
      </c>
      <c r="AI66" s="72" t="s">
        <v>344</v>
      </c>
      <c r="AJ66" s="72" t="s">
        <v>345</v>
      </c>
      <c r="AK66" s="72" t="s">
        <v>346</v>
      </c>
      <c r="AL66" s="72" t="s">
        <v>347</v>
      </c>
      <c r="AM66" s="72" t="s">
        <v>348</v>
      </c>
      <c r="AN66" s="72" t="s">
        <v>349</v>
      </c>
      <c r="AO66" s="72" t="s">
        <v>350</v>
      </c>
      <c r="AP66" s="72" t="s">
        <v>353</v>
      </c>
    </row>
    <row r="67" spans="1:42" s="111" customFormat="1">
      <c r="A67" s="72" t="s">
        <v>315</v>
      </c>
      <c r="B67" s="1917" t="s">
        <v>339</v>
      </c>
      <c r="C67" s="76"/>
      <c r="D67" s="76" t="e">
        <f t="shared" ref="D67:W74" si="58">D55-C55</f>
        <v>#VALUE!</v>
      </c>
      <c r="E67" s="76">
        <f t="shared" si="58"/>
        <v>0</v>
      </c>
      <c r="F67" s="76">
        <f t="shared" si="58"/>
        <v>0</v>
      </c>
      <c r="G67" s="76">
        <f t="shared" si="58"/>
        <v>0</v>
      </c>
      <c r="H67" s="76">
        <f t="shared" si="58"/>
        <v>0</v>
      </c>
      <c r="I67" s="76">
        <f t="shared" si="58"/>
        <v>0</v>
      </c>
      <c r="J67" s="76">
        <f t="shared" si="58"/>
        <v>0</v>
      </c>
      <c r="K67" s="76">
        <f t="shared" si="58"/>
        <v>0</v>
      </c>
      <c r="L67" s="76">
        <f t="shared" si="58"/>
        <v>0</v>
      </c>
      <c r="M67" s="76">
        <f t="shared" si="58"/>
        <v>0</v>
      </c>
      <c r="N67" s="76">
        <f t="shared" si="58"/>
        <v>0</v>
      </c>
      <c r="O67" s="76">
        <f t="shared" si="58"/>
        <v>0</v>
      </c>
      <c r="P67" s="76">
        <f t="shared" si="58"/>
        <v>0</v>
      </c>
      <c r="Q67" s="76">
        <f t="shared" si="58"/>
        <v>0</v>
      </c>
      <c r="R67" s="76">
        <f t="shared" si="58"/>
        <v>0</v>
      </c>
      <c r="S67" s="76">
        <f t="shared" si="58"/>
        <v>0</v>
      </c>
      <c r="T67" s="76">
        <f t="shared" si="58"/>
        <v>0</v>
      </c>
      <c r="U67" s="76">
        <f t="shared" si="58"/>
        <v>0</v>
      </c>
      <c r="V67" s="208">
        <f t="shared" si="58"/>
        <v>338376593.44807261</v>
      </c>
      <c r="W67" s="208">
        <f t="shared" si="58"/>
        <v>-7337593.4480726123</v>
      </c>
      <c r="X67" s="316">
        <f t="shared" ref="X67:AB74" si="59">X55-W55</f>
        <v>-577000</v>
      </c>
      <c r="Y67" s="316">
        <f t="shared" si="59"/>
        <v>-5529000</v>
      </c>
      <c r="Z67" s="316">
        <f t="shared" si="59"/>
        <v>-114869000</v>
      </c>
      <c r="AA67" s="316">
        <f t="shared" si="59"/>
        <v>1848000</v>
      </c>
      <c r="AB67" s="316">
        <f t="shared" si="59"/>
        <v>63052000</v>
      </c>
      <c r="AC67" s="168">
        <f t="shared" ref="AC67:AC74" si="60">AVERAGE(S67:AB67)</f>
        <v>27496400</v>
      </c>
      <c r="AD67" s="168">
        <f t="shared" ref="AD67:AD74" si="61">AVERAGE(Q67:Y67)</f>
        <v>36103666.666666664</v>
      </c>
      <c r="AE67" s="120">
        <f>AE55-AB55</f>
        <v>26782126.2640751</v>
      </c>
      <c r="AF67" s="120">
        <f>AE67</f>
        <v>26782126.2640751</v>
      </c>
      <c r="AG67" s="208">
        <f t="shared" ref="AG67:AG74" si="62">AG55-AF55</f>
        <v>-4039255.5797606707</v>
      </c>
      <c r="AH67" s="208">
        <f t="shared" ref="AH67:AH74" si="63">AH55-AG55</f>
        <v>-3985185.0077847242</v>
      </c>
      <c r="AI67" s="208">
        <f t="shared" ref="AI67:AI74" si="64">AI55-AH55</f>
        <v>-3931838.2391670942</v>
      </c>
      <c r="AJ67" s="208">
        <f t="shared" ref="AJ67:AJ74" si="65">AJ55-AI55</f>
        <v>-3879205.5848795176</v>
      </c>
      <c r="AK67" s="208">
        <f t="shared" ref="AK67:AK74" si="66">AK55-AJ55</f>
        <v>-3827277.4855936766</v>
      </c>
      <c r="AL67" s="208">
        <f t="shared" ref="AL67:AL74" si="67">AL55-AK55</f>
        <v>-3776044.5099449754</v>
      </c>
      <c r="AM67" s="208">
        <f t="shared" ref="AM67:AM74" si="68">AM55-AL55</f>
        <v>-3725497.3528196812</v>
      </c>
      <c r="AN67" s="208">
        <f t="shared" ref="AN67:AN74" si="69">AN55-AM55</f>
        <v>-3675626.8336648345</v>
      </c>
      <c r="AO67" s="208">
        <f t="shared" ref="AO67:AO74" si="70">AO55-AN55</f>
        <v>-3626423.8948207796</v>
      </c>
      <c r="AP67" s="79"/>
    </row>
    <row r="68" spans="1:42" s="111" customFormat="1">
      <c r="A68" s="72" t="s">
        <v>310</v>
      </c>
      <c r="B68" s="1918"/>
      <c r="C68" s="76"/>
      <c r="D68" s="76" t="e">
        <f t="shared" si="58"/>
        <v>#VALUE!</v>
      </c>
      <c r="E68" s="76">
        <f t="shared" si="58"/>
        <v>0</v>
      </c>
      <c r="F68" s="76">
        <f t="shared" si="58"/>
        <v>0</v>
      </c>
      <c r="G68" s="76">
        <f t="shared" si="58"/>
        <v>0</v>
      </c>
      <c r="H68" s="76">
        <f t="shared" si="58"/>
        <v>0</v>
      </c>
      <c r="I68" s="76">
        <f t="shared" si="58"/>
        <v>0</v>
      </c>
      <c r="J68" s="76">
        <f t="shared" si="58"/>
        <v>0</v>
      </c>
      <c r="K68" s="76">
        <f t="shared" si="58"/>
        <v>0</v>
      </c>
      <c r="L68" s="76">
        <f t="shared" si="58"/>
        <v>0</v>
      </c>
      <c r="M68" s="76">
        <f t="shared" si="58"/>
        <v>0</v>
      </c>
      <c r="N68" s="76">
        <f t="shared" si="58"/>
        <v>0</v>
      </c>
      <c r="O68" s="76">
        <f t="shared" si="58"/>
        <v>0</v>
      </c>
      <c r="P68" s="76">
        <f t="shared" si="58"/>
        <v>0</v>
      </c>
      <c r="Q68" s="76">
        <f t="shared" si="58"/>
        <v>0</v>
      </c>
      <c r="R68" s="76">
        <f t="shared" si="58"/>
        <v>0</v>
      </c>
      <c r="S68" s="76">
        <f t="shared" si="58"/>
        <v>0</v>
      </c>
      <c r="T68" s="76">
        <f t="shared" si="58"/>
        <v>0</v>
      </c>
      <c r="U68" s="76">
        <f t="shared" si="58"/>
        <v>0</v>
      </c>
      <c r="V68" s="208">
        <f t="shared" ref="V68:V73" si="71">V56-U56</f>
        <v>476117497.70296037</v>
      </c>
      <c r="W68" s="208">
        <f t="shared" ref="W68:W73" si="72">W56-V56</f>
        <v>224091807.91495264</v>
      </c>
      <c r="X68" s="208">
        <f t="shared" si="59"/>
        <v>232782348.94212544</v>
      </c>
      <c r="Y68" s="208">
        <f t="shared" si="59"/>
        <v>29796140.664592028</v>
      </c>
      <c r="Z68" s="208">
        <f t="shared" si="59"/>
        <v>-537572037.82368147</v>
      </c>
      <c r="AA68" s="208">
        <f t="shared" si="59"/>
        <v>-118563809.72785586</v>
      </c>
      <c r="AB68" s="208">
        <f t="shared" si="59"/>
        <v>62696045.98174572</v>
      </c>
      <c r="AC68" s="108">
        <f t="shared" si="60"/>
        <v>36934799.365483887</v>
      </c>
      <c r="AD68" s="108">
        <f t="shared" si="61"/>
        <v>106976421.69162561</v>
      </c>
      <c r="AE68" s="120">
        <f t="shared" ref="AE68:AE72" si="73">AE56-AB56</f>
        <v>35975344.41398406</v>
      </c>
      <c r="AF68" s="120">
        <f t="shared" ref="AF68:AF74" si="74">AE68</f>
        <v>35975344.41398406</v>
      </c>
      <c r="AG68" s="208">
        <f t="shared" si="62"/>
        <v>6136710.0522224903</v>
      </c>
      <c r="AH68" s="208">
        <f t="shared" si="63"/>
        <v>6229621.5792134404</v>
      </c>
      <c r="AI68" s="208">
        <f t="shared" si="64"/>
        <v>6323939.8130186796</v>
      </c>
      <c r="AJ68" s="208">
        <f t="shared" si="65"/>
        <v>6419686.0515775681</v>
      </c>
      <c r="AK68" s="208">
        <f t="shared" si="66"/>
        <v>6516881.9152860641</v>
      </c>
      <c r="AL68" s="208">
        <f t="shared" si="67"/>
        <v>6615549.3518793583</v>
      </c>
      <c r="AM68" s="208">
        <f t="shared" si="68"/>
        <v>6715710.6413873434</v>
      </c>
      <c r="AN68" s="208">
        <f t="shared" si="69"/>
        <v>6817388.4011659622</v>
      </c>
      <c r="AO68" s="208">
        <f t="shared" si="70"/>
        <v>6920605.5910042524</v>
      </c>
      <c r="AP68" s="79"/>
    </row>
    <row r="69" spans="1:42" s="111" customFormat="1">
      <c r="A69" s="72" t="s">
        <v>317</v>
      </c>
      <c r="B69" s="1918"/>
      <c r="C69" s="76"/>
      <c r="D69" s="76" t="e">
        <f t="shared" si="58"/>
        <v>#VALUE!</v>
      </c>
      <c r="E69" s="76">
        <f t="shared" si="58"/>
        <v>0</v>
      </c>
      <c r="F69" s="76">
        <f t="shared" si="58"/>
        <v>0</v>
      </c>
      <c r="G69" s="76">
        <f t="shared" si="58"/>
        <v>0</v>
      </c>
      <c r="H69" s="76">
        <f t="shared" si="58"/>
        <v>0</v>
      </c>
      <c r="I69" s="76">
        <f t="shared" si="58"/>
        <v>0</v>
      </c>
      <c r="J69" s="76">
        <f t="shared" si="58"/>
        <v>0</v>
      </c>
      <c r="K69" s="76">
        <f t="shared" si="58"/>
        <v>0</v>
      </c>
      <c r="L69" s="76">
        <f t="shared" si="58"/>
        <v>0</v>
      </c>
      <c r="M69" s="76">
        <f t="shared" si="58"/>
        <v>0</v>
      </c>
      <c r="N69" s="76">
        <f t="shared" si="58"/>
        <v>0</v>
      </c>
      <c r="O69" s="76">
        <f t="shared" si="58"/>
        <v>0</v>
      </c>
      <c r="P69" s="76">
        <f t="shared" si="58"/>
        <v>0</v>
      </c>
      <c r="Q69" s="76">
        <f t="shared" si="58"/>
        <v>0</v>
      </c>
      <c r="R69" s="76">
        <f t="shared" si="58"/>
        <v>0</v>
      </c>
      <c r="S69" s="76">
        <f t="shared" si="58"/>
        <v>0</v>
      </c>
      <c r="T69" s="76">
        <f t="shared" si="58"/>
        <v>0</v>
      </c>
      <c r="U69" s="76">
        <f t="shared" si="58"/>
        <v>0</v>
      </c>
      <c r="V69" s="208">
        <f t="shared" si="71"/>
        <v>257612466.16261873</v>
      </c>
      <c r="W69" s="208">
        <f t="shared" si="72"/>
        <v>-9311293.9576850235</v>
      </c>
      <c r="X69" s="208">
        <f t="shared" si="59"/>
        <v>-10552799.818709671</v>
      </c>
      <c r="Y69" s="208">
        <f t="shared" si="59"/>
        <v>3724517.5830740035</v>
      </c>
      <c r="Z69" s="208">
        <f t="shared" si="59"/>
        <v>-100561974.74299815</v>
      </c>
      <c r="AA69" s="208">
        <f>AA57-Z57</f>
        <v>-13035811.540759027</v>
      </c>
      <c r="AB69" s="208">
        <f>AB57-AA57</f>
        <v>54005504.954573095</v>
      </c>
      <c r="AC69" s="108">
        <f t="shared" si="60"/>
        <v>18188060.864011396</v>
      </c>
      <c r="AD69" s="108">
        <f t="shared" si="61"/>
        <v>26830321.107699782</v>
      </c>
      <c r="AE69" s="120">
        <f t="shared" si="73"/>
        <v>17715589.770247608</v>
      </c>
      <c r="AF69" s="120">
        <f t="shared" si="74"/>
        <v>17715589.770247608</v>
      </c>
      <c r="AG69" s="208">
        <f t="shared" si="62"/>
        <v>3021942.9332793057</v>
      </c>
      <c r="AH69" s="208">
        <f t="shared" si="63"/>
        <v>3067696.0045538545</v>
      </c>
      <c r="AI69" s="208">
        <f t="shared" si="64"/>
        <v>3114141.790276438</v>
      </c>
      <c r="AJ69" s="208">
        <f t="shared" si="65"/>
        <v>3161290.7783398628</v>
      </c>
      <c r="AK69" s="208">
        <f t="shared" si="66"/>
        <v>3209153.6154266</v>
      </c>
      <c r="AL69" s="208">
        <f t="shared" si="67"/>
        <v>3257741.1094128788</v>
      </c>
      <c r="AM69" s="208">
        <f t="shared" si="68"/>
        <v>3307064.2318092287</v>
      </c>
      <c r="AN69" s="208">
        <f t="shared" si="69"/>
        <v>3357134.1202380061</v>
      </c>
      <c r="AO69" s="208">
        <f t="shared" si="70"/>
        <v>3407962.0809482932</v>
      </c>
      <c r="AP69" s="79"/>
    </row>
    <row r="70" spans="1:42" s="111" customFormat="1">
      <c r="A70" s="72" t="s">
        <v>313</v>
      </c>
      <c r="B70" s="1918"/>
      <c r="C70" s="76"/>
      <c r="D70" s="76" t="e">
        <f t="shared" si="58"/>
        <v>#VALUE!</v>
      </c>
      <c r="E70" s="76">
        <f t="shared" si="58"/>
        <v>0</v>
      </c>
      <c r="F70" s="76">
        <f t="shared" si="58"/>
        <v>0</v>
      </c>
      <c r="G70" s="76">
        <f t="shared" si="58"/>
        <v>0</v>
      </c>
      <c r="H70" s="76">
        <f t="shared" si="58"/>
        <v>0</v>
      </c>
      <c r="I70" s="76">
        <f t="shared" si="58"/>
        <v>0</v>
      </c>
      <c r="J70" s="76">
        <f t="shared" si="58"/>
        <v>0</v>
      </c>
      <c r="K70" s="76">
        <f t="shared" si="58"/>
        <v>0</v>
      </c>
      <c r="L70" s="76">
        <f t="shared" si="58"/>
        <v>0</v>
      </c>
      <c r="M70" s="76">
        <f t="shared" si="58"/>
        <v>0</v>
      </c>
      <c r="N70" s="76">
        <f t="shared" si="58"/>
        <v>0</v>
      </c>
      <c r="O70" s="76">
        <f t="shared" si="58"/>
        <v>0</v>
      </c>
      <c r="P70" s="76">
        <f t="shared" si="58"/>
        <v>0</v>
      </c>
      <c r="Q70" s="76">
        <f t="shared" si="58"/>
        <v>0</v>
      </c>
      <c r="R70" s="76">
        <f t="shared" si="58"/>
        <v>0</v>
      </c>
      <c r="S70" s="76">
        <f t="shared" si="58"/>
        <v>0</v>
      </c>
      <c r="T70" s="76">
        <f t="shared" si="58"/>
        <v>0</v>
      </c>
      <c r="U70" s="76">
        <f t="shared" si="58"/>
        <v>0</v>
      </c>
      <c r="V70" s="208">
        <f t="shared" si="71"/>
        <v>365002723.14125258</v>
      </c>
      <c r="W70" s="208">
        <f t="shared" si="72"/>
        <v>-36624422.900227726</v>
      </c>
      <c r="X70" s="208">
        <f>X58-W58</f>
        <v>57109269.6071347</v>
      </c>
      <c r="Y70" s="208">
        <f t="shared" si="59"/>
        <v>-58971528.398671746</v>
      </c>
      <c r="Z70" s="208">
        <f t="shared" si="59"/>
        <v>-108631762.83965847</v>
      </c>
      <c r="AA70" s="208">
        <f t="shared" si="59"/>
        <v>-620752.93051233888</v>
      </c>
      <c r="AB70" s="208">
        <f t="shared" si="59"/>
        <v>11794305.679734349</v>
      </c>
      <c r="AC70" s="108">
        <f t="shared" si="60"/>
        <v>22905783.135905135</v>
      </c>
      <c r="AD70" s="108">
        <f t="shared" si="61"/>
        <v>36279560.161054201</v>
      </c>
      <c r="AE70" s="120">
        <f t="shared" si="73"/>
        <v>22310759.813042194</v>
      </c>
      <c r="AF70" s="120">
        <f t="shared" si="74"/>
        <v>22310759.813042194</v>
      </c>
      <c r="AG70" s="208">
        <f t="shared" si="62"/>
        <v>3805791.6122186482</v>
      </c>
      <c r="AH70" s="208">
        <f t="shared" si="63"/>
        <v>3863412.374335736</v>
      </c>
      <c r="AI70" s="208">
        <f t="shared" si="64"/>
        <v>3921905.5310989916</v>
      </c>
      <c r="AJ70" s="208">
        <f t="shared" si="65"/>
        <v>3981284.290810287</v>
      </c>
      <c r="AK70" s="208">
        <f t="shared" si="66"/>
        <v>4041562.0617488623</v>
      </c>
      <c r="AL70" s="208">
        <f t="shared" si="67"/>
        <v>4102752.4551991224</v>
      </c>
      <c r="AM70" s="208">
        <f t="shared" si="68"/>
        <v>4164869.2885242701</v>
      </c>
      <c r="AN70" s="208">
        <f t="shared" si="69"/>
        <v>4227926.5882861018</v>
      </c>
      <c r="AO70" s="208">
        <f t="shared" si="70"/>
        <v>4291938.5934126973</v>
      </c>
      <c r="AP70" s="79"/>
    </row>
    <row r="71" spans="1:42" s="111" customFormat="1">
      <c r="A71" s="72" t="s">
        <v>316</v>
      </c>
      <c r="B71" s="1918"/>
      <c r="C71" s="76"/>
      <c r="D71" s="76" t="e">
        <f t="shared" si="58"/>
        <v>#VALUE!</v>
      </c>
      <c r="E71" s="76">
        <f t="shared" si="58"/>
        <v>0</v>
      </c>
      <c r="F71" s="76">
        <f t="shared" si="58"/>
        <v>0</v>
      </c>
      <c r="G71" s="76">
        <f t="shared" si="58"/>
        <v>0</v>
      </c>
      <c r="H71" s="76">
        <f t="shared" si="58"/>
        <v>0</v>
      </c>
      <c r="I71" s="76">
        <f t="shared" si="58"/>
        <v>0</v>
      </c>
      <c r="J71" s="76">
        <f t="shared" si="58"/>
        <v>0</v>
      </c>
      <c r="K71" s="76">
        <f t="shared" si="58"/>
        <v>0</v>
      </c>
      <c r="L71" s="76">
        <f t="shared" si="58"/>
        <v>0</v>
      </c>
      <c r="M71" s="76">
        <f t="shared" si="58"/>
        <v>0</v>
      </c>
      <c r="N71" s="76">
        <f t="shared" si="58"/>
        <v>0</v>
      </c>
      <c r="O71" s="76">
        <f t="shared" si="58"/>
        <v>0</v>
      </c>
      <c r="P71" s="76">
        <f t="shared" si="58"/>
        <v>0</v>
      </c>
      <c r="Q71" s="76">
        <f t="shared" si="58"/>
        <v>0</v>
      </c>
      <c r="R71" s="76">
        <f t="shared" si="58"/>
        <v>0</v>
      </c>
      <c r="S71" s="76">
        <f t="shared" si="58"/>
        <v>0</v>
      </c>
      <c r="T71" s="76">
        <f t="shared" si="58"/>
        <v>0</v>
      </c>
      <c r="U71" s="76">
        <f t="shared" si="58"/>
        <v>0</v>
      </c>
      <c r="V71" s="208">
        <f t="shared" si="71"/>
        <v>277476559.93901342</v>
      </c>
      <c r="W71" s="208">
        <f t="shared" si="72"/>
        <v>-4966023.4440986514</v>
      </c>
      <c r="X71" s="208">
        <f t="shared" si="59"/>
        <v>-4345270.5135863721</v>
      </c>
      <c r="Y71" s="208">
        <f t="shared" si="59"/>
        <v>-2483011.7220493257</v>
      </c>
      <c r="Z71" s="208">
        <f t="shared" si="59"/>
        <v>-102424233.53453517</v>
      </c>
      <c r="AA71" s="208">
        <f t="shared" si="59"/>
        <v>-18001834.984857678</v>
      </c>
      <c r="AB71" s="208">
        <f t="shared" si="59"/>
        <v>49039481.510474414</v>
      </c>
      <c r="AC71" s="108">
        <f t="shared" si="60"/>
        <v>19429566.725036062</v>
      </c>
      <c r="AD71" s="108">
        <f t="shared" si="61"/>
        <v>29520250.473253231</v>
      </c>
      <c r="AE71" s="120">
        <f t="shared" si="73"/>
        <v>18924845.044667244</v>
      </c>
      <c r="AF71" s="120">
        <f t="shared" si="74"/>
        <v>18924845.044667244</v>
      </c>
      <c r="AG71" s="208">
        <f t="shared" si="62"/>
        <v>3228218.9014212489</v>
      </c>
      <c r="AH71" s="208">
        <f t="shared" si="63"/>
        <v>3277095.0492332876</v>
      </c>
      <c r="AI71" s="208">
        <f t="shared" si="64"/>
        <v>3326711.195756048</v>
      </c>
      <c r="AJ71" s="208">
        <f t="shared" si="65"/>
        <v>3377078.5447794497</v>
      </c>
      <c r="AK71" s="208">
        <f t="shared" si="66"/>
        <v>3428208.4697219133</v>
      </c>
      <c r="AL71" s="208">
        <f t="shared" si="67"/>
        <v>3480112.5161987245</v>
      </c>
      <c r="AM71" s="208">
        <f t="shared" si="68"/>
        <v>3532802.4046289623</v>
      </c>
      <c r="AN71" s="208">
        <f t="shared" si="69"/>
        <v>3586290.0328822434</v>
      </c>
      <c r="AO71" s="208">
        <f t="shared" si="70"/>
        <v>3640587.4789652526</v>
      </c>
      <c r="AP71" s="79"/>
    </row>
    <row r="72" spans="1:42" s="111" customFormat="1">
      <c r="A72" s="72" t="s">
        <v>312</v>
      </c>
      <c r="B72" s="1918"/>
      <c r="C72" s="76"/>
      <c r="D72" s="76" t="e">
        <f t="shared" si="58"/>
        <v>#VALUE!</v>
      </c>
      <c r="E72" s="76">
        <f t="shared" si="58"/>
        <v>0</v>
      </c>
      <c r="F72" s="76">
        <f t="shared" si="58"/>
        <v>0</v>
      </c>
      <c r="G72" s="76">
        <f t="shared" si="58"/>
        <v>0</v>
      </c>
      <c r="H72" s="76">
        <f t="shared" si="58"/>
        <v>0</v>
      </c>
      <c r="I72" s="76">
        <f t="shared" si="58"/>
        <v>0</v>
      </c>
      <c r="J72" s="76">
        <f t="shared" si="58"/>
        <v>0</v>
      </c>
      <c r="K72" s="76">
        <f t="shared" si="58"/>
        <v>0</v>
      </c>
      <c r="L72" s="76">
        <f t="shared" si="58"/>
        <v>0</v>
      </c>
      <c r="M72" s="76">
        <f t="shared" si="58"/>
        <v>0</v>
      </c>
      <c r="N72" s="76">
        <f t="shared" si="58"/>
        <v>0</v>
      </c>
      <c r="O72" s="76">
        <f t="shared" si="58"/>
        <v>0</v>
      </c>
      <c r="P72" s="76">
        <f t="shared" si="58"/>
        <v>0</v>
      </c>
      <c r="Q72" s="76">
        <f t="shared" si="58"/>
        <v>0</v>
      </c>
      <c r="R72" s="76">
        <f t="shared" si="58"/>
        <v>0</v>
      </c>
      <c r="S72" s="76">
        <f t="shared" si="58"/>
        <v>0</v>
      </c>
      <c r="T72" s="76">
        <f t="shared" si="58"/>
        <v>0</v>
      </c>
      <c r="U72" s="76">
        <f t="shared" si="58"/>
        <v>0</v>
      </c>
      <c r="V72" s="208">
        <f t="shared" si="71"/>
        <v>275311563.49335676</v>
      </c>
      <c r="W72" s="208">
        <f t="shared" si="72"/>
        <v>9043255.5066432357</v>
      </c>
      <c r="X72" s="316">
        <f t="shared" si="59"/>
        <v>-9441809.4229089618</v>
      </c>
      <c r="Y72" s="316">
        <f t="shared" si="59"/>
        <v>3475391.6363001466</v>
      </c>
      <c r="Z72" s="316">
        <f t="shared" si="59"/>
        <v>-95019326.03779155</v>
      </c>
      <c r="AA72" s="316">
        <f t="shared" si="59"/>
        <v>20911090.885204554</v>
      </c>
      <c r="AB72" s="316">
        <f t="shared" si="59"/>
        <v>61506698.599804282</v>
      </c>
      <c r="AC72" s="168">
        <f t="shared" si="60"/>
        <v>26578686.466060847</v>
      </c>
      <c r="AD72" s="168">
        <f t="shared" si="61"/>
        <v>30932044.579265688</v>
      </c>
      <c r="AE72" s="120">
        <f t="shared" si="73"/>
        <v>25888252.166367471</v>
      </c>
      <c r="AF72" s="120">
        <f t="shared" si="74"/>
        <v>25888252.166367471</v>
      </c>
      <c r="AG72" s="208">
        <f t="shared" si="62"/>
        <v>1194391.5146686435</v>
      </c>
      <c r="AH72" s="208">
        <f t="shared" si="63"/>
        <v>1199282.4738489389</v>
      </c>
      <c r="AI72" s="208">
        <f t="shared" si="64"/>
        <v>1204193.4612037539</v>
      </c>
      <c r="AJ72" s="208">
        <f t="shared" si="65"/>
        <v>1209124.558747232</v>
      </c>
      <c r="AK72" s="208">
        <f t="shared" si="66"/>
        <v>1214075.8488293886</v>
      </c>
      <c r="AL72" s="208">
        <f t="shared" si="67"/>
        <v>1219047.4141373038</v>
      </c>
      <c r="AM72" s="208">
        <f t="shared" si="68"/>
        <v>1224039.3376968503</v>
      </c>
      <c r="AN72" s="208">
        <f t="shared" si="69"/>
        <v>1229051.702873826</v>
      </c>
      <c r="AO72" s="208">
        <f t="shared" si="70"/>
        <v>1234084.5933753252</v>
      </c>
      <c r="AP72" s="79"/>
    </row>
    <row r="73" spans="1:42" s="111" customFormat="1">
      <c r="A73" s="72" t="s">
        <v>311</v>
      </c>
      <c r="B73" s="1918"/>
      <c r="C73" s="76"/>
      <c r="D73" s="76" t="e">
        <f t="shared" si="58"/>
        <v>#VALUE!</v>
      </c>
      <c r="E73" s="76">
        <f t="shared" si="58"/>
        <v>0</v>
      </c>
      <c r="F73" s="76">
        <f t="shared" si="58"/>
        <v>0</v>
      </c>
      <c r="G73" s="76">
        <f t="shared" si="58"/>
        <v>0</v>
      </c>
      <c r="H73" s="76">
        <f t="shared" si="58"/>
        <v>0</v>
      </c>
      <c r="I73" s="76">
        <f t="shared" si="58"/>
        <v>0</v>
      </c>
      <c r="J73" s="76">
        <f t="shared" si="58"/>
        <v>0</v>
      </c>
      <c r="K73" s="76">
        <f t="shared" si="58"/>
        <v>0</v>
      </c>
      <c r="L73" s="76">
        <f t="shared" si="58"/>
        <v>0</v>
      </c>
      <c r="M73" s="76">
        <f t="shared" si="58"/>
        <v>0</v>
      </c>
      <c r="N73" s="76">
        <f t="shared" si="58"/>
        <v>0</v>
      </c>
      <c r="O73" s="76">
        <f t="shared" si="58"/>
        <v>0</v>
      </c>
      <c r="P73" s="76">
        <f t="shared" si="58"/>
        <v>0</v>
      </c>
      <c r="Q73" s="76">
        <f t="shared" si="58"/>
        <v>0</v>
      </c>
      <c r="R73" s="76">
        <f t="shared" si="58"/>
        <v>0</v>
      </c>
      <c r="S73" s="76">
        <f t="shared" si="58"/>
        <v>0</v>
      </c>
      <c r="T73" s="76">
        <f t="shared" si="58"/>
        <v>0</v>
      </c>
      <c r="U73" s="76">
        <f t="shared" si="58"/>
        <v>0</v>
      </c>
      <c r="V73" s="208">
        <f t="shared" si="71"/>
        <v>178901891.02941176</v>
      </c>
      <c r="W73" s="208">
        <f t="shared" si="72"/>
        <v>42780886.985294133</v>
      </c>
      <c r="X73" s="208">
        <f t="shared" si="59"/>
        <v>-22946112.110294133</v>
      </c>
      <c r="Y73" s="316">
        <f t="shared" si="59"/>
        <v>12834266.095588237</v>
      </c>
      <c r="Z73" s="316">
        <f t="shared" si="59"/>
        <v>-77586986</v>
      </c>
      <c r="AA73" s="316">
        <f t="shared" si="59"/>
        <v>-2504549</v>
      </c>
      <c r="AB73" s="316">
        <f t="shared" si="59"/>
        <v>46990015</v>
      </c>
      <c r="AC73" s="168">
        <f t="shared" si="60"/>
        <v>17846941.199999999</v>
      </c>
      <c r="AD73" s="168">
        <f t="shared" si="61"/>
        <v>23507881.333333332</v>
      </c>
      <c r="AE73" s="119">
        <f>AE61-AB61</f>
        <v>13080510</v>
      </c>
      <c r="AF73" s="120">
        <f t="shared" si="74"/>
        <v>13080510</v>
      </c>
      <c r="AG73" s="208">
        <f t="shared" si="62"/>
        <v>12782823.48651737</v>
      </c>
      <c r="AH73" s="208">
        <f t="shared" si="63"/>
        <v>13635867.823896229</v>
      </c>
      <c r="AI73" s="208">
        <f t="shared" si="64"/>
        <v>14545838.914765924</v>
      </c>
      <c r="AJ73" s="208">
        <f t="shared" si="65"/>
        <v>15516535.688585371</v>
      </c>
      <c r="AK73" s="208">
        <f t="shared" si="66"/>
        <v>16552010.591203362</v>
      </c>
      <c r="AL73" s="208">
        <f t="shared" si="67"/>
        <v>17656586.502930015</v>
      </c>
      <c r="AM73" s="208">
        <f t="shared" si="68"/>
        <v>18834874.785612702</v>
      </c>
      <c r="AN73" s="208">
        <f t="shared" si="69"/>
        <v>20091794.534058988</v>
      </c>
      <c r="AO73" s="208">
        <f t="shared" si="70"/>
        <v>21432593.112177134</v>
      </c>
      <c r="AP73" s="79"/>
    </row>
    <row r="74" spans="1:42" s="111" customFormat="1">
      <c r="A74" s="72" t="s">
        <v>314</v>
      </c>
      <c r="B74" s="1919"/>
      <c r="C74" s="76"/>
      <c r="D74" s="76" t="e">
        <f t="shared" si="58"/>
        <v>#VALUE!</v>
      </c>
      <c r="E74" s="76">
        <f t="shared" si="58"/>
        <v>0</v>
      </c>
      <c r="F74" s="76">
        <f t="shared" si="58"/>
        <v>0</v>
      </c>
      <c r="G74" s="76">
        <f t="shared" si="58"/>
        <v>0</v>
      </c>
      <c r="H74" s="76">
        <f t="shared" si="58"/>
        <v>0</v>
      </c>
      <c r="I74" s="76">
        <f t="shared" si="58"/>
        <v>0</v>
      </c>
      <c r="J74" s="76">
        <f t="shared" si="58"/>
        <v>0</v>
      </c>
      <c r="K74" s="76">
        <f t="shared" si="58"/>
        <v>0</v>
      </c>
      <c r="L74" s="76">
        <f t="shared" si="58"/>
        <v>0</v>
      </c>
      <c r="M74" s="76">
        <f t="shared" si="58"/>
        <v>0</v>
      </c>
      <c r="N74" s="76">
        <f t="shared" si="58"/>
        <v>0</v>
      </c>
      <c r="O74" s="76">
        <f t="shared" si="58"/>
        <v>0</v>
      </c>
      <c r="P74" s="76">
        <f t="shared" si="58"/>
        <v>0</v>
      </c>
      <c r="Q74" s="76">
        <f t="shared" si="58"/>
        <v>0</v>
      </c>
      <c r="R74" s="76">
        <f t="shared" si="58"/>
        <v>0</v>
      </c>
      <c r="S74" s="76">
        <f t="shared" si="58"/>
        <v>0</v>
      </c>
      <c r="T74" s="76">
        <f t="shared" si="58"/>
        <v>0</v>
      </c>
      <c r="U74" s="76">
        <f t="shared" si="58"/>
        <v>0</v>
      </c>
      <c r="V74" s="208">
        <f t="shared" si="58"/>
        <v>326509428.03973514</v>
      </c>
      <c r="W74" s="208">
        <f>W62-V62</f>
        <v>-5090347.4304636121</v>
      </c>
      <c r="X74" s="208">
        <f t="shared" si="59"/>
        <v>8726309.880794704</v>
      </c>
      <c r="Y74" s="316">
        <f t="shared" si="59"/>
        <v>-727192.4900662303</v>
      </c>
      <c r="Z74" s="316">
        <f t="shared" si="59"/>
        <v>-123102831</v>
      </c>
      <c r="AA74" s="316">
        <f t="shared" si="59"/>
        <v>13816607</v>
      </c>
      <c r="AB74" s="316">
        <f t="shared" si="59"/>
        <v>71813165</v>
      </c>
      <c r="AC74" s="168">
        <f t="shared" si="60"/>
        <v>29194513.899999999</v>
      </c>
      <c r="AD74" s="168">
        <f t="shared" si="61"/>
        <v>36602022</v>
      </c>
      <c r="AE74" s="119">
        <f>AE62-AB62</f>
        <v>35474801</v>
      </c>
      <c r="AF74" s="120">
        <f t="shared" si="74"/>
        <v>35474801</v>
      </c>
      <c r="AG74" s="208">
        <f t="shared" si="62"/>
        <v>1021165.7835617065</v>
      </c>
      <c r="AH74" s="208">
        <f t="shared" si="63"/>
        <v>1024350.6218385696</v>
      </c>
      <c r="AI74" s="208">
        <f t="shared" si="64"/>
        <v>1027545.3930714726</v>
      </c>
      <c r="AJ74" s="208">
        <f t="shared" si="65"/>
        <v>1030750.1282396317</v>
      </c>
      <c r="AK74" s="208">
        <f t="shared" si="66"/>
        <v>1033964.8584187031</v>
      </c>
      <c r="AL74" s="208">
        <f t="shared" si="67"/>
        <v>1037189.6147814989</v>
      </c>
      <c r="AM74" s="208">
        <f t="shared" si="68"/>
        <v>1040424.4285979271</v>
      </c>
      <c r="AN74" s="208">
        <f t="shared" si="69"/>
        <v>1043669.3312354088</v>
      </c>
      <c r="AO74" s="208">
        <f t="shared" si="70"/>
        <v>1046924.3541591763</v>
      </c>
      <c r="AP74" s="79"/>
    </row>
    <row r="75" spans="1:42" s="112" customFormat="1">
      <c r="A75" s="74" t="s">
        <v>203</v>
      </c>
      <c r="B75" s="74"/>
      <c r="C75" s="75"/>
      <c r="D75" s="75" t="e">
        <f t="shared" ref="D75:AO75" si="75">SUM(D67:D74)</f>
        <v>#VALUE!</v>
      </c>
      <c r="E75" s="75">
        <f t="shared" si="75"/>
        <v>0</v>
      </c>
      <c r="F75" s="75">
        <f t="shared" si="75"/>
        <v>0</v>
      </c>
      <c r="G75" s="75">
        <f t="shared" si="75"/>
        <v>0</v>
      </c>
      <c r="H75" s="75">
        <f t="shared" si="75"/>
        <v>0</v>
      </c>
      <c r="I75" s="75">
        <f t="shared" si="75"/>
        <v>0</v>
      </c>
      <c r="J75" s="75">
        <f t="shared" si="75"/>
        <v>0</v>
      </c>
      <c r="K75" s="75">
        <f t="shared" si="75"/>
        <v>0</v>
      </c>
      <c r="L75" s="75">
        <f t="shared" si="75"/>
        <v>0</v>
      </c>
      <c r="M75" s="75">
        <f t="shared" si="75"/>
        <v>0</v>
      </c>
      <c r="N75" s="75">
        <f t="shared" si="75"/>
        <v>0</v>
      </c>
      <c r="O75" s="75">
        <f t="shared" si="75"/>
        <v>0</v>
      </c>
      <c r="P75" s="75">
        <f t="shared" si="75"/>
        <v>0</v>
      </c>
      <c r="Q75" s="75">
        <f t="shared" si="75"/>
        <v>0</v>
      </c>
      <c r="R75" s="75">
        <f t="shared" si="75"/>
        <v>0</v>
      </c>
      <c r="S75" s="75">
        <f t="shared" si="75"/>
        <v>0</v>
      </c>
      <c r="T75" s="75">
        <f t="shared" si="75"/>
        <v>0</v>
      </c>
      <c r="U75" s="75">
        <f t="shared" si="75"/>
        <v>0</v>
      </c>
      <c r="V75" s="75">
        <f t="shared" si="75"/>
        <v>2495308722.9564214</v>
      </c>
      <c r="W75" s="75">
        <f t="shared" si="75"/>
        <v>212586269.22634238</v>
      </c>
      <c r="X75" s="75">
        <f t="shared" si="75"/>
        <v>250754936.56455573</v>
      </c>
      <c r="Y75" s="75">
        <f t="shared" si="75"/>
        <v>-17880416.631232888</v>
      </c>
      <c r="Z75" s="75">
        <f t="shared" si="75"/>
        <v>-1259768151.9786649</v>
      </c>
      <c r="AA75" s="75">
        <f t="shared" si="75"/>
        <v>-116151060.29878035</v>
      </c>
      <c r="AB75" s="75">
        <f t="shared" si="75"/>
        <v>420897216.72633183</v>
      </c>
      <c r="AC75" s="75">
        <f t="shared" si="75"/>
        <v>198574751.65649733</v>
      </c>
      <c r="AD75" s="75">
        <f t="shared" si="75"/>
        <v>326752168.0128985</v>
      </c>
      <c r="AE75" s="75">
        <f t="shared" si="75"/>
        <v>196152228.47238368</v>
      </c>
      <c r="AF75" s="75">
        <f t="shared" si="75"/>
        <v>196152228.47238368</v>
      </c>
      <c r="AG75" s="75">
        <f t="shared" si="75"/>
        <v>27151788.704128742</v>
      </c>
      <c r="AH75" s="75">
        <f t="shared" si="75"/>
        <v>28312140.919135332</v>
      </c>
      <c r="AI75" s="75">
        <f t="shared" si="75"/>
        <v>29532437.860024214</v>
      </c>
      <c r="AJ75" s="75">
        <f t="shared" si="75"/>
        <v>30816544.456199884</v>
      </c>
      <c r="AK75" s="75">
        <f t="shared" si="75"/>
        <v>32168579.875041217</v>
      </c>
      <c r="AL75" s="75">
        <f t="shared" si="75"/>
        <v>33592934.454593927</v>
      </c>
      <c r="AM75" s="75">
        <f t="shared" si="75"/>
        <v>35094287.765437603</v>
      </c>
      <c r="AN75" s="75">
        <f t="shared" si="75"/>
        <v>36677627.877075702</v>
      </c>
      <c r="AO75" s="75">
        <f t="shared" si="75"/>
        <v>38348271.909221351</v>
      </c>
      <c r="AP75" s="79"/>
    </row>
    <row r="76" spans="1:42" s="111" customFormat="1"/>
    <row r="77" spans="1:42" s="111" customFormat="1">
      <c r="A77" s="71">
        <v>7</v>
      </c>
      <c r="B77" s="71" t="s">
        <v>265</v>
      </c>
      <c r="C77" s="1910" t="s">
        <v>324</v>
      </c>
      <c r="D77" s="1910"/>
      <c r="E77" s="1910"/>
      <c r="F77" s="1910"/>
      <c r="G77" s="1910"/>
      <c r="H77" s="1910"/>
      <c r="I77" s="1910"/>
      <c r="J77" s="1910"/>
      <c r="K77" s="1910"/>
      <c r="L77" s="1910"/>
      <c r="M77" s="1910"/>
      <c r="N77" s="1910"/>
      <c r="O77" s="1910"/>
      <c r="P77" s="1910"/>
      <c r="Q77" s="1910"/>
      <c r="R77" s="1910"/>
      <c r="S77" s="1910"/>
      <c r="T77" s="1910"/>
      <c r="U77" s="1910"/>
      <c r="V77" s="1910"/>
      <c r="W77" s="1910"/>
      <c r="X77" s="1910"/>
      <c r="Y77" s="1910"/>
      <c r="Z77" s="1910"/>
      <c r="AA77" s="1910"/>
      <c r="AB77" s="1910"/>
      <c r="AC77" s="86"/>
      <c r="AD77" s="86"/>
      <c r="AE77" s="115"/>
      <c r="AF77" s="115"/>
      <c r="AG77" s="115"/>
      <c r="AH77" s="115"/>
      <c r="AI77" s="115"/>
      <c r="AJ77" s="115"/>
      <c r="AK77" s="115"/>
      <c r="AL77" s="115"/>
      <c r="AM77" s="115"/>
      <c r="AN77" s="115"/>
      <c r="AO77" s="115"/>
      <c r="AP77" s="115"/>
    </row>
    <row r="78" spans="1:42" s="111" customFormat="1">
      <c r="A78" s="71"/>
      <c r="B78" s="71"/>
      <c r="C78" s="72" t="s">
        <v>284</v>
      </c>
      <c r="D78" s="72" t="s">
        <v>285</v>
      </c>
      <c r="E78" s="72" t="s">
        <v>286</v>
      </c>
      <c r="F78" s="72" t="s">
        <v>287</v>
      </c>
      <c r="G78" s="72" t="s">
        <v>288</v>
      </c>
      <c r="H78" s="72" t="s">
        <v>289</v>
      </c>
      <c r="I78" s="72" t="s">
        <v>290</v>
      </c>
      <c r="J78" s="72" t="s">
        <v>291</v>
      </c>
      <c r="K78" s="72" t="s">
        <v>292</v>
      </c>
      <c r="L78" s="72" t="s">
        <v>293</v>
      </c>
      <c r="M78" s="72" t="s">
        <v>294</v>
      </c>
      <c r="N78" s="72" t="s">
        <v>295</v>
      </c>
      <c r="O78" s="72" t="s">
        <v>296</v>
      </c>
      <c r="P78" s="72" t="s">
        <v>297</v>
      </c>
      <c r="Q78" s="72" t="s">
        <v>298</v>
      </c>
      <c r="R78" s="72" t="s">
        <v>299</v>
      </c>
      <c r="S78" s="72" t="s">
        <v>300</v>
      </c>
      <c r="T78" s="72" t="s">
        <v>301</v>
      </c>
      <c r="U78" s="72" t="s">
        <v>302</v>
      </c>
      <c r="V78" s="72" t="s">
        <v>303</v>
      </c>
      <c r="W78" s="72" t="s">
        <v>304</v>
      </c>
      <c r="X78" s="72" t="s">
        <v>305</v>
      </c>
      <c r="Y78" s="72" t="s">
        <v>306</v>
      </c>
      <c r="Z78" s="72" t="s">
        <v>307</v>
      </c>
      <c r="AA78" s="72" t="s">
        <v>308</v>
      </c>
      <c r="AB78" s="72" t="s">
        <v>309</v>
      </c>
      <c r="AC78" s="72" t="s">
        <v>355</v>
      </c>
      <c r="AD78" s="72" t="s">
        <v>356</v>
      </c>
      <c r="AE78" s="72" t="s">
        <v>340</v>
      </c>
      <c r="AF78" s="72" t="s">
        <v>341</v>
      </c>
      <c r="AG78" s="72" t="s">
        <v>342</v>
      </c>
      <c r="AH78" s="72" t="s">
        <v>343</v>
      </c>
      <c r="AI78" s="72" t="s">
        <v>344</v>
      </c>
      <c r="AJ78" s="72" t="s">
        <v>345</v>
      </c>
      <c r="AK78" s="72" t="s">
        <v>346</v>
      </c>
      <c r="AL78" s="72" t="s">
        <v>347</v>
      </c>
      <c r="AM78" s="72" t="s">
        <v>348</v>
      </c>
      <c r="AN78" s="72" t="s">
        <v>349</v>
      </c>
      <c r="AO78" s="72" t="s">
        <v>350</v>
      </c>
      <c r="AP78" s="72" t="s">
        <v>353</v>
      </c>
    </row>
    <row r="79" spans="1:42" s="111" customFormat="1">
      <c r="A79" s="72" t="s">
        <v>315</v>
      </c>
      <c r="B79" s="1917" t="s">
        <v>339</v>
      </c>
      <c r="C79" s="76"/>
      <c r="D79" s="77" t="e">
        <f t="shared" ref="D79:AB87" si="76">D67/C55</f>
        <v>#VALUE!</v>
      </c>
      <c r="E79" s="77" t="e">
        <f t="shared" si="76"/>
        <v>#DIV/0!</v>
      </c>
      <c r="F79" s="77" t="e">
        <f t="shared" si="76"/>
        <v>#DIV/0!</v>
      </c>
      <c r="G79" s="77" t="e">
        <f t="shared" si="76"/>
        <v>#DIV/0!</v>
      </c>
      <c r="H79" s="77" t="e">
        <f t="shared" si="76"/>
        <v>#DIV/0!</v>
      </c>
      <c r="I79" s="77" t="e">
        <f t="shared" si="76"/>
        <v>#DIV/0!</v>
      </c>
      <c r="J79" s="77" t="e">
        <f t="shared" si="76"/>
        <v>#DIV/0!</v>
      </c>
      <c r="K79" s="77" t="e">
        <f t="shared" si="76"/>
        <v>#DIV/0!</v>
      </c>
      <c r="L79" s="77" t="e">
        <f t="shared" si="76"/>
        <v>#DIV/0!</v>
      </c>
      <c r="M79" s="77" t="e">
        <f t="shared" si="76"/>
        <v>#DIV/0!</v>
      </c>
      <c r="N79" s="77" t="e">
        <f t="shared" si="76"/>
        <v>#DIV/0!</v>
      </c>
      <c r="O79" s="77" t="e">
        <f t="shared" si="76"/>
        <v>#DIV/0!</v>
      </c>
      <c r="P79" s="77" t="e">
        <f t="shared" si="76"/>
        <v>#DIV/0!</v>
      </c>
      <c r="Q79" s="77" t="e">
        <f t="shared" si="76"/>
        <v>#DIV/0!</v>
      </c>
      <c r="R79" s="77" t="e">
        <f t="shared" si="76"/>
        <v>#DIV/0!</v>
      </c>
      <c r="S79" s="77" t="e">
        <f t="shared" si="76"/>
        <v>#DIV/0!</v>
      </c>
      <c r="T79" s="77" t="e">
        <f t="shared" si="76"/>
        <v>#DIV/0!</v>
      </c>
      <c r="U79" s="77" t="e">
        <f t="shared" si="76"/>
        <v>#DIV/0!</v>
      </c>
      <c r="V79" s="77" t="e">
        <f t="shared" si="76"/>
        <v>#DIV/0!</v>
      </c>
      <c r="W79" s="207">
        <f t="shared" si="76"/>
        <v>-2.1684695662020258E-2</v>
      </c>
      <c r="X79" s="276">
        <f t="shared" si="76"/>
        <v>-1.7429970486861064E-3</v>
      </c>
      <c r="Y79" s="276">
        <f t="shared" si="76"/>
        <v>-1.6731121883907983E-2</v>
      </c>
      <c r="Z79" s="276">
        <f t="shared" si="76"/>
        <v>-0.353515955597</v>
      </c>
      <c r="AA79" s="276">
        <f t="shared" si="76"/>
        <v>8.7973189123314796E-3</v>
      </c>
      <c r="AB79" s="276">
        <f t="shared" si="76"/>
        <v>0.29753860092868739</v>
      </c>
      <c r="AC79" s="298">
        <f>AVERAGE(X79:AB79)</f>
        <v>-1.3130830937715044E-2</v>
      </c>
      <c r="AD79" s="298">
        <f>AVERAGE(W79:Y79)</f>
        <v>-1.3386271531538116E-2</v>
      </c>
      <c r="AE79" s="366">
        <f>AE67/AB55</f>
        <v>9.740230089784517E-2</v>
      </c>
      <c r="AF79" s="344"/>
      <c r="AG79" s="299">
        <v>-1.5726678585327041E-2</v>
      </c>
      <c r="AH79" s="299">
        <v>-1.5726678585327041E-2</v>
      </c>
      <c r="AI79" s="299">
        <v>-1.5726678585327041E-2</v>
      </c>
      <c r="AJ79" s="299">
        <v>-1.5726678585327041E-2</v>
      </c>
      <c r="AK79" s="299">
        <v>-1.5726678585327041E-2</v>
      </c>
      <c r="AL79" s="299">
        <v>-1.5726678585327041E-2</v>
      </c>
      <c r="AM79" s="299">
        <v>-1.5726678585327041E-2</v>
      </c>
      <c r="AN79" s="299">
        <v>-1.5726678585327041E-2</v>
      </c>
      <c r="AO79" s="299">
        <v>-1.5726678585327041E-2</v>
      </c>
      <c r="AP79" s="344"/>
    </row>
    <row r="80" spans="1:42" s="111" customFormat="1">
      <c r="A80" s="72" t="s">
        <v>310</v>
      </c>
      <c r="B80" s="1918"/>
      <c r="C80" s="76"/>
      <c r="D80" s="77" t="e">
        <f t="shared" si="76"/>
        <v>#VALUE!</v>
      </c>
      <c r="E80" s="77" t="e">
        <f t="shared" si="76"/>
        <v>#DIV/0!</v>
      </c>
      <c r="F80" s="77" t="e">
        <f t="shared" si="76"/>
        <v>#DIV/0!</v>
      </c>
      <c r="G80" s="77" t="e">
        <f t="shared" si="76"/>
        <v>#DIV/0!</v>
      </c>
      <c r="H80" s="77" t="e">
        <f t="shared" si="76"/>
        <v>#DIV/0!</v>
      </c>
      <c r="I80" s="77" t="e">
        <f t="shared" si="76"/>
        <v>#DIV/0!</v>
      </c>
      <c r="J80" s="77" t="e">
        <f t="shared" si="76"/>
        <v>#DIV/0!</v>
      </c>
      <c r="K80" s="77" t="e">
        <f t="shared" si="76"/>
        <v>#DIV/0!</v>
      </c>
      <c r="L80" s="77" t="e">
        <f t="shared" si="76"/>
        <v>#DIV/0!</v>
      </c>
      <c r="M80" s="77" t="e">
        <f t="shared" si="76"/>
        <v>#DIV/0!</v>
      </c>
      <c r="N80" s="77" t="e">
        <f t="shared" si="76"/>
        <v>#DIV/0!</v>
      </c>
      <c r="O80" s="77" t="e">
        <f t="shared" si="76"/>
        <v>#DIV/0!</v>
      </c>
      <c r="P80" s="77" t="e">
        <f t="shared" si="76"/>
        <v>#DIV/0!</v>
      </c>
      <c r="Q80" s="77" t="e">
        <f t="shared" si="76"/>
        <v>#DIV/0!</v>
      </c>
      <c r="R80" s="77" t="e">
        <f t="shared" si="76"/>
        <v>#DIV/0!</v>
      </c>
      <c r="S80" s="77" t="e">
        <f t="shared" si="76"/>
        <v>#DIV/0!</v>
      </c>
      <c r="T80" s="77" t="e">
        <f t="shared" si="76"/>
        <v>#DIV/0!</v>
      </c>
      <c r="U80" s="77" t="e">
        <f t="shared" si="76"/>
        <v>#DIV/0!</v>
      </c>
      <c r="V80" s="77" t="e">
        <f t="shared" si="76"/>
        <v>#DIV/0!</v>
      </c>
      <c r="W80" s="207">
        <f t="shared" si="76"/>
        <v>0.47066492829204687</v>
      </c>
      <c r="X80" s="207">
        <f t="shared" si="76"/>
        <v>0.33244680851063846</v>
      </c>
      <c r="Y80" s="207">
        <f t="shared" si="76"/>
        <v>3.1936127744510961E-2</v>
      </c>
      <c r="Z80" s="207">
        <f t="shared" si="76"/>
        <v>-0.55834945196647323</v>
      </c>
      <c r="AA80" s="207">
        <f t="shared" si="76"/>
        <v>-0.2788321167883212</v>
      </c>
      <c r="AB80" s="207">
        <f t="shared" si="76"/>
        <v>0.20445344129554641</v>
      </c>
      <c r="AC80" s="299">
        <f>AVERAGE(X80:AB80)</f>
        <v>-5.3669038240819721E-2</v>
      </c>
      <c r="AD80" s="367">
        <f>AVERAGE(X80:Y80)</f>
        <v>0.1821914681275747</v>
      </c>
      <c r="AE80" s="366">
        <f t="shared" ref="AE80:AE84" si="77">AE68/AB56</f>
        <v>9.7402300897845268E-2</v>
      </c>
      <c r="AF80" s="344"/>
      <c r="AG80" s="366">
        <v>1.4999999999999999E-2</v>
      </c>
      <c r="AH80" s="366">
        <v>1.4999999999999999E-2</v>
      </c>
      <c r="AI80" s="366">
        <v>1.4999999999999999E-2</v>
      </c>
      <c r="AJ80" s="366">
        <v>1.4999999999999999E-2</v>
      </c>
      <c r="AK80" s="366">
        <v>1.4999999999999999E-2</v>
      </c>
      <c r="AL80" s="366">
        <v>1.4999999999999999E-2</v>
      </c>
      <c r="AM80" s="366">
        <v>1.4999999999999999E-2</v>
      </c>
      <c r="AN80" s="366">
        <v>1.4999999999999999E-2</v>
      </c>
      <c r="AO80" s="366">
        <v>1.4999999999999999E-2</v>
      </c>
      <c r="AP80" s="344"/>
    </row>
    <row r="81" spans="1:42" s="111" customFormat="1">
      <c r="A81" s="72" t="s">
        <v>317</v>
      </c>
      <c r="B81" s="1918"/>
      <c r="C81" s="76"/>
      <c r="D81" s="77" t="e">
        <f t="shared" si="76"/>
        <v>#VALUE!</v>
      </c>
      <c r="E81" s="77" t="e">
        <f t="shared" si="76"/>
        <v>#DIV/0!</v>
      </c>
      <c r="F81" s="77" t="e">
        <f t="shared" si="76"/>
        <v>#DIV/0!</v>
      </c>
      <c r="G81" s="77" t="e">
        <f t="shared" si="76"/>
        <v>#DIV/0!</v>
      </c>
      <c r="H81" s="77" t="e">
        <f t="shared" si="76"/>
        <v>#DIV/0!</v>
      </c>
      <c r="I81" s="77" t="e">
        <f t="shared" si="76"/>
        <v>#DIV/0!</v>
      </c>
      <c r="J81" s="77" t="e">
        <f t="shared" si="76"/>
        <v>#DIV/0!</v>
      </c>
      <c r="K81" s="77" t="e">
        <f t="shared" si="76"/>
        <v>#DIV/0!</v>
      </c>
      <c r="L81" s="77" t="e">
        <f t="shared" si="76"/>
        <v>#DIV/0!</v>
      </c>
      <c r="M81" s="77" t="e">
        <f t="shared" si="76"/>
        <v>#DIV/0!</v>
      </c>
      <c r="N81" s="77" t="e">
        <f t="shared" si="76"/>
        <v>#DIV/0!</v>
      </c>
      <c r="O81" s="77" t="e">
        <f t="shared" si="76"/>
        <v>#DIV/0!</v>
      </c>
      <c r="P81" s="77" t="e">
        <f t="shared" si="76"/>
        <v>#DIV/0!</v>
      </c>
      <c r="Q81" s="77" t="e">
        <f t="shared" si="76"/>
        <v>#DIV/0!</v>
      </c>
      <c r="R81" s="77" t="e">
        <f t="shared" si="76"/>
        <v>#DIV/0!</v>
      </c>
      <c r="S81" s="77" t="e">
        <f t="shared" si="76"/>
        <v>#DIV/0!</v>
      </c>
      <c r="T81" s="77" t="e">
        <f t="shared" si="76"/>
        <v>#DIV/0!</v>
      </c>
      <c r="U81" s="77" t="e">
        <f t="shared" si="76"/>
        <v>#DIV/0!</v>
      </c>
      <c r="V81" s="77" t="e">
        <f t="shared" si="76"/>
        <v>#DIV/0!</v>
      </c>
      <c r="W81" s="207">
        <f t="shared" si="76"/>
        <v>-3.6144578313253045E-2</v>
      </c>
      <c r="X81" s="207">
        <f t="shared" si="76"/>
        <v>-4.2499999999999954E-2</v>
      </c>
      <c r="Y81" s="207">
        <f t="shared" si="76"/>
        <v>1.5665796344647511E-2</v>
      </c>
      <c r="Z81" s="207">
        <f t="shared" si="76"/>
        <v>-0.41645244215938304</v>
      </c>
      <c r="AA81" s="207">
        <f t="shared" si="76"/>
        <v>-9.2511013215859084E-2</v>
      </c>
      <c r="AB81" s="207">
        <f>AB69/AA57</f>
        <v>0.42233009708737879</v>
      </c>
      <c r="AC81" s="299">
        <f t="shared" ref="AC81:AC83" si="78">AVERAGE(X81:AB81)</f>
        <v>-2.2693512388643165E-2</v>
      </c>
      <c r="AD81" s="299">
        <f>$AD$87</f>
        <v>1.5140283018148067E-2</v>
      </c>
      <c r="AE81" s="366">
        <f t="shared" si="77"/>
        <v>9.740230089784524E-2</v>
      </c>
      <c r="AF81" s="344"/>
      <c r="AG81" s="299">
        <v>1.5140283018148067E-2</v>
      </c>
      <c r="AH81" s="299">
        <v>1.5140283018148067E-2</v>
      </c>
      <c r="AI81" s="299">
        <v>1.5140283018148067E-2</v>
      </c>
      <c r="AJ81" s="299">
        <v>1.5140283018148067E-2</v>
      </c>
      <c r="AK81" s="299">
        <v>1.5140283018148067E-2</v>
      </c>
      <c r="AL81" s="299">
        <v>1.5140283018148067E-2</v>
      </c>
      <c r="AM81" s="299">
        <v>1.5140283018148067E-2</v>
      </c>
      <c r="AN81" s="299">
        <v>1.5140283018148067E-2</v>
      </c>
      <c r="AO81" s="299">
        <v>1.5140283018148067E-2</v>
      </c>
      <c r="AP81" s="344"/>
    </row>
    <row r="82" spans="1:42" s="111" customFormat="1">
      <c r="A82" s="72" t="s">
        <v>313</v>
      </c>
      <c r="B82" s="1918"/>
      <c r="C82" s="76"/>
      <c r="D82" s="77" t="e">
        <f t="shared" si="76"/>
        <v>#VALUE!</v>
      </c>
      <c r="E82" s="77" t="e">
        <f t="shared" si="76"/>
        <v>#DIV/0!</v>
      </c>
      <c r="F82" s="77" t="e">
        <f t="shared" si="76"/>
        <v>#DIV/0!</v>
      </c>
      <c r="G82" s="77" t="e">
        <f t="shared" si="76"/>
        <v>#DIV/0!</v>
      </c>
      <c r="H82" s="77" t="e">
        <f t="shared" si="76"/>
        <v>#DIV/0!</v>
      </c>
      <c r="I82" s="77" t="e">
        <f t="shared" si="76"/>
        <v>#DIV/0!</v>
      </c>
      <c r="J82" s="77" t="e">
        <f t="shared" si="76"/>
        <v>#DIV/0!</v>
      </c>
      <c r="K82" s="77" t="e">
        <f t="shared" si="76"/>
        <v>#DIV/0!</v>
      </c>
      <c r="L82" s="77" t="e">
        <f t="shared" si="76"/>
        <v>#DIV/0!</v>
      </c>
      <c r="M82" s="77" t="e">
        <f t="shared" si="76"/>
        <v>#DIV/0!</v>
      </c>
      <c r="N82" s="77" t="e">
        <f t="shared" si="76"/>
        <v>#DIV/0!</v>
      </c>
      <c r="O82" s="77" t="e">
        <f t="shared" si="76"/>
        <v>#DIV/0!</v>
      </c>
      <c r="P82" s="77" t="e">
        <f t="shared" si="76"/>
        <v>#DIV/0!</v>
      </c>
      <c r="Q82" s="77" t="e">
        <f t="shared" si="76"/>
        <v>#DIV/0!</v>
      </c>
      <c r="R82" s="77" t="e">
        <f t="shared" si="76"/>
        <v>#DIV/0!</v>
      </c>
      <c r="S82" s="77" t="e">
        <f t="shared" si="76"/>
        <v>#DIV/0!</v>
      </c>
      <c r="T82" s="77" t="e">
        <f t="shared" si="76"/>
        <v>#DIV/0!</v>
      </c>
      <c r="U82" s="77" t="e">
        <f t="shared" si="76"/>
        <v>#DIV/0!</v>
      </c>
      <c r="V82" s="77" t="e">
        <f t="shared" si="76"/>
        <v>#DIV/0!</v>
      </c>
      <c r="W82" s="207">
        <f t="shared" si="76"/>
        <v>-0.10034013605442177</v>
      </c>
      <c r="X82" s="207">
        <f>X70/W58</f>
        <v>0.1739130434782607</v>
      </c>
      <c r="Y82" s="207">
        <f t="shared" si="76"/>
        <v>-0.15297906602254427</v>
      </c>
      <c r="Z82" s="207">
        <f t="shared" si="76"/>
        <v>-0.33269961977186308</v>
      </c>
      <c r="AA82" s="207">
        <f t="shared" si="76"/>
        <v>-2.84900284900287E-3</v>
      </c>
      <c r="AB82" s="207">
        <f t="shared" si="76"/>
        <v>5.4285714285714277E-2</v>
      </c>
      <c r="AC82" s="299">
        <f t="shared" si="78"/>
        <v>-5.2065786175887051E-2</v>
      </c>
      <c r="AD82" s="299">
        <f t="shared" ref="AD82:AD83" si="79">$AD$87</f>
        <v>1.5140283018148067E-2</v>
      </c>
      <c r="AE82" s="366">
        <f t="shared" si="77"/>
        <v>9.740230089784517E-2</v>
      </c>
      <c r="AF82" s="344"/>
      <c r="AG82" s="299">
        <v>1.5140283018148067E-2</v>
      </c>
      <c r="AH82" s="299">
        <v>1.5140283018148067E-2</v>
      </c>
      <c r="AI82" s="299">
        <v>1.5140283018148067E-2</v>
      </c>
      <c r="AJ82" s="299">
        <v>1.5140283018148067E-2</v>
      </c>
      <c r="AK82" s="299">
        <v>1.5140283018148067E-2</v>
      </c>
      <c r="AL82" s="299">
        <v>1.5140283018148067E-2</v>
      </c>
      <c r="AM82" s="299">
        <v>1.5140283018148067E-2</v>
      </c>
      <c r="AN82" s="299">
        <v>1.5140283018148067E-2</v>
      </c>
      <c r="AO82" s="299">
        <v>1.5140283018148067E-2</v>
      </c>
      <c r="AP82" s="344"/>
    </row>
    <row r="83" spans="1:42" s="111" customFormat="1">
      <c r="A83" s="72" t="s">
        <v>316</v>
      </c>
      <c r="B83" s="1918"/>
      <c r="C83" s="76"/>
      <c r="D83" s="77" t="e">
        <f t="shared" si="76"/>
        <v>#VALUE!</v>
      </c>
      <c r="E83" s="77" t="e">
        <f t="shared" si="76"/>
        <v>#DIV/0!</v>
      </c>
      <c r="F83" s="77" t="e">
        <f t="shared" si="76"/>
        <v>#DIV/0!</v>
      </c>
      <c r="G83" s="77" t="e">
        <f t="shared" si="76"/>
        <v>#DIV/0!</v>
      </c>
      <c r="H83" s="77" t="e">
        <f t="shared" si="76"/>
        <v>#DIV/0!</v>
      </c>
      <c r="I83" s="77" t="e">
        <f t="shared" si="76"/>
        <v>#DIV/0!</v>
      </c>
      <c r="J83" s="77" t="e">
        <f t="shared" si="76"/>
        <v>#DIV/0!</v>
      </c>
      <c r="K83" s="77" t="e">
        <f t="shared" si="76"/>
        <v>#DIV/0!</v>
      </c>
      <c r="L83" s="77" t="e">
        <f t="shared" si="76"/>
        <v>#DIV/0!</v>
      </c>
      <c r="M83" s="77" t="e">
        <f t="shared" si="76"/>
        <v>#DIV/0!</v>
      </c>
      <c r="N83" s="77" t="e">
        <f t="shared" si="76"/>
        <v>#DIV/0!</v>
      </c>
      <c r="O83" s="77" t="e">
        <f t="shared" si="76"/>
        <v>#DIV/0!</v>
      </c>
      <c r="P83" s="77" t="e">
        <f t="shared" si="76"/>
        <v>#DIV/0!</v>
      </c>
      <c r="Q83" s="77" t="e">
        <f t="shared" si="76"/>
        <v>#DIV/0!</v>
      </c>
      <c r="R83" s="77" t="e">
        <f t="shared" si="76"/>
        <v>#DIV/0!</v>
      </c>
      <c r="S83" s="77" t="e">
        <f t="shared" si="76"/>
        <v>#DIV/0!</v>
      </c>
      <c r="T83" s="77" t="e">
        <f t="shared" si="76"/>
        <v>#DIV/0!</v>
      </c>
      <c r="U83" s="77" t="e">
        <f t="shared" si="76"/>
        <v>#DIV/0!</v>
      </c>
      <c r="V83" s="77" t="e">
        <f t="shared" si="76"/>
        <v>#DIV/0!</v>
      </c>
      <c r="W83" s="207">
        <f t="shared" si="76"/>
        <v>-1.7897091722594995E-2</v>
      </c>
      <c r="X83" s="207">
        <f t="shared" si="76"/>
        <v>-1.5945330296127679E-2</v>
      </c>
      <c r="Y83" s="207">
        <f t="shared" si="76"/>
        <v>-9.2592592592592171E-3</v>
      </c>
      <c r="Z83" s="207">
        <f t="shared" si="76"/>
        <v>-0.38551401869158886</v>
      </c>
      <c r="AA83" s="207">
        <f t="shared" si="76"/>
        <v>-0.11026615969581741</v>
      </c>
      <c r="AB83" s="207">
        <f t="shared" si="76"/>
        <v>0.33760683760683763</v>
      </c>
      <c r="AC83" s="299">
        <f t="shared" si="78"/>
        <v>-3.6675586067191103E-2</v>
      </c>
      <c r="AD83" s="299">
        <f t="shared" si="79"/>
        <v>1.5140283018148067E-2</v>
      </c>
      <c r="AE83" s="366">
        <f t="shared" si="77"/>
        <v>9.7402300897845254E-2</v>
      </c>
      <c r="AF83" s="344"/>
      <c r="AG83" s="299">
        <v>1.5140283018148067E-2</v>
      </c>
      <c r="AH83" s="299">
        <v>1.5140283018148067E-2</v>
      </c>
      <c r="AI83" s="299">
        <v>1.5140283018148067E-2</v>
      </c>
      <c r="AJ83" s="299">
        <v>1.5140283018148067E-2</v>
      </c>
      <c r="AK83" s="299">
        <v>1.5140283018148067E-2</v>
      </c>
      <c r="AL83" s="299">
        <v>1.5140283018148067E-2</v>
      </c>
      <c r="AM83" s="299">
        <v>1.5140283018148067E-2</v>
      </c>
      <c r="AN83" s="299">
        <v>1.5140283018148067E-2</v>
      </c>
      <c r="AO83" s="299">
        <v>1.5140283018148067E-2</v>
      </c>
      <c r="AP83" s="344"/>
    </row>
    <row r="84" spans="1:42" s="111" customFormat="1">
      <c r="A84" s="72" t="s">
        <v>312</v>
      </c>
      <c r="B84" s="1918"/>
      <c r="C84" s="76"/>
      <c r="D84" s="77" t="e">
        <f t="shared" si="76"/>
        <v>#VALUE!</v>
      </c>
      <c r="E84" s="77" t="e">
        <f t="shared" si="76"/>
        <v>#DIV/0!</v>
      </c>
      <c r="F84" s="77" t="e">
        <f t="shared" si="76"/>
        <v>#DIV/0!</v>
      </c>
      <c r="G84" s="77" t="e">
        <f t="shared" si="76"/>
        <v>#DIV/0!</v>
      </c>
      <c r="H84" s="77" t="e">
        <f t="shared" si="76"/>
        <v>#DIV/0!</v>
      </c>
      <c r="I84" s="77" t="e">
        <f t="shared" si="76"/>
        <v>#DIV/0!</v>
      </c>
      <c r="J84" s="77" t="e">
        <f t="shared" si="76"/>
        <v>#DIV/0!</v>
      </c>
      <c r="K84" s="77" t="e">
        <f t="shared" si="76"/>
        <v>#DIV/0!</v>
      </c>
      <c r="L84" s="77" t="e">
        <f t="shared" si="76"/>
        <v>#DIV/0!</v>
      </c>
      <c r="M84" s="77" t="e">
        <f t="shared" si="76"/>
        <v>#DIV/0!</v>
      </c>
      <c r="N84" s="77" t="e">
        <f t="shared" si="76"/>
        <v>#DIV/0!</v>
      </c>
      <c r="O84" s="77" t="e">
        <f t="shared" si="76"/>
        <v>#DIV/0!</v>
      </c>
      <c r="P84" s="77" t="e">
        <f t="shared" si="76"/>
        <v>#DIV/0!</v>
      </c>
      <c r="Q84" s="77" t="e">
        <f t="shared" si="76"/>
        <v>#DIV/0!</v>
      </c>
      <c r="R84" s="77" t="e">
        <f t="shared" si="76"/>
        <v>#DIV/0!</v>
      </c>
      <c r="S84" s="77" t="e">
        <f t="shared" si="76"/>
        <v>#DIV/0!</v>
      </c>
      <c r="T84" s="77" t="e">
        <f t="shared" si="76"/>
        <v>#DIV/0!</v>
      </c>
      <c r="U84" s="77" t="e">
        <f t="shared" si="76"/>
        <v>#DIV/0!</v>
      </c>
      <c r="V84" s="77" t="e">
        <f t="shared" si="76"/>
        <v>#DIV/0!</v>
      </c>
      <c r="W84" s="207">
        <f t="shared" si="76"/>
        <v>3.2847350804650996E-2</v>
      </c>
      <c r="X84" s="276">
        <f t="shared" si="76"/>
        <v>-3.3204323584573966E-2</v>
      </c>
      <c r="Y84" s="276">
        <f t="shared" si="76"/>
        <v>1.2641786729723964E-2</v>
      </c>
      <c r="Z84" s="276">
        <f t="shared" si="76"/>
        <v>-0.34131927057175426</v>
      </c>
      <c r="AA84" s="276">
        <f t="shared" si="76"/>
        <v>0.11403826335045578</v>
      </c>
      <c r="AB84" s="276">
        <f t="shared" si="76"/>
        <v>0.30108991874177721</v>
      </c>
      <c r="AC84" s="298">
        <f>AVERAGE(X84:AB84)</f>
        <v>1.0649274933125747E-2</v>
      </c>
      <c r="AD84" s="298">
        <f>AVERAGE(W84:Y84)</f>
        <v>4.0949379832669981E-3</v>
      </c>
      <c r="AE84" s="366">
        <f t="shared" si="77"/>
        <v>9.7402300897845295E-2</v>
      </c>
      <c r="AF84" s="344"/>
      <c r="AG84" s="366">
        <v>4.0949379832669981E-3</v>
      </c>
      <c r="AH84" s="366">
        <v>4.0949379832669981E-3</v>
      </c>
      <c r="AI84" s="366">
        <v>4.0949379832669981E-3</v>
      </c>
      <c r="AJ84" s="366">
        <v>4.0949379832669981E-3</v>
      </c>
      <c r="AK84" s="366">
        <v>4.0949379832669981E-3</v>
      </c>
      <c r="AL84" s="366">
        <v>4.0949379832669981E-3</v>
      </c>
      <c r="AM84" s="366">
        <v>4.0949379832669981E-3</v>
      </c>
      <c r="AN84" s="366">
        <v>4.0949379832669981E-3</v>
      </c>
      <c r="AO84" s="366">
        <v>4.0949379832669981E-3</v>
      </c>
      <c r="AP84" s="344"/>
    </row>
    <row r="85" spans="1:42" s="111" customFormat="1">
      <c r="A85" s="72" t="s">
        <v>311</v>
      </c>
      <c r="B85" s="1918"/>
      <c r="C85" s="76"/>
      <c r="D85" s="77" t="e">
        <f t="shared" si="76"/>
        <v>#VALUE!</v>
      </c>
      <c r="E85" s="77" t="e">
        <f t="shared" si="76"/>
        <v>#DIV/0!</v>
      </c>
      <c r="F85" s="77" t="e">
        <f t="shared" si="76"/>
        <v>#DIV/0!</v>
      </c>
      <c r="G85" s="77" t="e">
        <f t="shared" si="76"/>
        <v>#DIV/0!</v>
      </c>
      <c r="H85" s="77" t="e">
        <f t="shared" si="76"/>
        <v>#DIV/0!</v>
      </c>
      <c r="I85" s="77" t="e">
        <f t="shared" si="76"/>
        <v>#DIV/0!</v>
      </c>
      <c r="J85" s="77" t="e">
        <f t="shared" si="76"/>
        <v>#DIV/0!</v>
      </c>
      <c r="K85" s="77" t="e">
        <f t="shared" si="76"/>
        <v>#DIV/0!</v>
      </c>
      <c r="L85" s="77" t="e">
        <f t="shared" si="76"/>
        <v>#DIV/0!</v>
      </c>
      <c r="M85" s="77" t="e">
        <f t="shared" si="76"/>
        <v>#DIV/0!</v>
      </c>
      <c r="N85" s="77" t="e">
        <f t="shared" si="76"/>
        <v>#DIV/0!</v>
      </c>
      <c r="O85" s="77" t="e">
        <f t="shared" si="76"/>
        <v>#DIV/0!</v>
      </c>
      <c r="P85" s="77" t="e">
        <f t="shared" si="76"/>
        <v>#DIV/0!</v>
      </c>
      <c r="Q85" s="77" t="e">
        <f t="shared" si="76"/>
        <v>#DIV/0!</v>
      </c>
      <c r="R85" s="77" t="e">
        <f t="shared" si="76"/>
        <v>#DIV/0!</v>
      </c>
      <c r="S85" s="77" t="e">
        <f t="shared" si="76"/>
        <v>#DIV/0!</v>
      </c>
      <c r="T85" s="77" t="e">
        <f t="shared" si="76"/>
        <v>#DIV/0!</v>
      </c>
      <c r="U85" s="77" t="e">
        <f t="shared" si="76"/>
        <v>#DIV/0!</v>
      </c>
      <c r="V85" s="77" t="e">
        <f t="shared" si="76"/>
        <v>#DIV/0!</v>
      </c>
      <c r="W85" s="207">
        <f t="shared" si="76"/>
        <v>0.23913043478260879</v>
      </c>
      <c r="X85" s="207">
        <f t="shared" si="76"/>
        <v>-0.10350877192982462</v>
      </c>
      <c r="Y85" s="276">
        <f t="shared" si="76"/>
        <v>6.4579256360078288E-2</v>
      </c>
      <c r="Z85" s="276">
        <f t="shared" si="76"/>
        <v>-0.36671855281140414</v>
      </c>
      <c r="AA85" s="276">
        <f t="shared" si="76"/>
        <v>-1.869290370056723E-2</v>
      </c>
      <c r="AB85" s="276">
        <f t="shared" si="76"/>
        <v>0.35739451254100291</v>
      </c>
      <c r="AC85" s="298">
        <f>AVERAGE(Y85:AB85,AE85)</f>
        <v>2.1971007999336871E-2</v>
      </c>
      <c r="AD85" s="298">
        <f>AVERAGE(W85:Y85)</f>
        <v>6.6733639737620809E-2</v>
      </c>
      <c r="AE85" s="355">
        <f>AE73/AB61</f>
        <v>7.3292727607574562E-2</v>
      </c>
      <c r="AF85" s="344"/>
      <c r="AG85" s="366">
        <v>6.6733639737620809E-2</v>
      </c>
      <c r="AH85" s="366">
        <v>6.6733639737620809E-2</v>
      </c>
      <c r="AI85" s="366">
        <v>6.6733639737620809E-2</v>
      </c>
      <c r="AJ85" s="366">
        <v>6.6733639737620809E-2</v>
      </c>
      <c r="AK85" s="366">
        <v>6.6733639737620809E-2</v>
      </c>
      <c r="AL85" s="366">
        <v>6.6733639737620809E-2</v>
      </c>
      <c r="AM85" s="366">
        <v>6.6733639737620809E-2</v>
      </c>
      <c r="AN85" s="366">
        <v>6.6733639737620809E-2</v>
      </c>
      <c r="AO85" s="366">
        <v>6.6733639737620809E-2</v>
      </c>
      <c r="AP85" s="344"/>
    </row>
    <row r="86" spans="1:42" s="111" customFormat="1">
      <c r="A86" s="72" t="s">
        <v>314</v>
      </c>
      <c r="B86" s="1919"/>
      <c r="C86" s="76"/>
      <c r="D86" s="77" t="e">
        <f t="shared" si="76"/>
        <v>#VALUE!</v>
      </c>
      <c r="E86" s="77" t="e">
        <f t="shared" si="76"/>
        <v>#DIV/0!</v>
      </c>
      <c r="F86" s="77" t="e">
        <f t="shared" si="76"/>
        <v>#DIV/0!</v>
      </c>
      <c r="G86" s="77" t="e">
        <f t="shared" si="76"/>
        <v>#DIV/0!</v>
      </c>
      <c r="H86" s="77" t="e">
        <f t="shared" si="76"/>
        <v>#DIV/0!</v>
      </c>
      <c r="I86" s="77" t="e">
        <f t="shared" si="76"/>
        <v>#DIV/0!</v>
      </c>
      <c r="J86" s="77" t="e">
        <f t="shared" si="76"/>
        <v>#DIV/0!</v>
      </c>
      <c r="K86" s="77" t="e">
        <f t="shared" si="76"/>
        <v>#DIV/0!</v>
      </c>
      <c r="L86" s="77" t="e">
        <f t="shared" si="76"/>
        <v>#DIV/0!</v>
      </c>
      <c r="M86" s="77" t="e">
        <f t="shared" si="76"/>
        <v>#DIV/0!</v>
      </c>
      <c r="N86" s="77" t="e">
        <f t="shared" si="76"/>
        <v>#DIV/0!</v>
      </c>
      <c r="O86" s="77" t="e">
        <f t="shared" si="76"/>
        <v>#DIV/0!</v>
      </c>
      <c r="P86" s="77" t="e">
        <f t="shared" si="76"/>
        <v>#DIV/0!</v>
      </c>
      <c r="Q86" s="77" t="e">
        <f t="shared" si="76"/>
        <v>#DIV/0!</v>
      </c>
      <c r="R86" s="77" t="e">
        <f t="shared" si="76"/>
        <v>#DIV/0!</v>
      </c>
      <c r="S86" s="77" t="e">
        <f t="shared" si="76"/>
        <v>#DIV/0!</v>
      </c>
      <c r="T86" s="77" t="e">
        <f t="shared" si="76"/>
        <v>#DIV/0!</v>
      </c>
      <c r="U86" s="77" t="e">
        <f t="shared" si="76"/>
        <v>#DIV/0!</v>
      </c>
      <c r="V86" s="77" t="e">
        <f t="shared" si="76"/>
        <v>#DIV/0!</v>
      </c>
      <c r="W86" s="207">
        <f t="shared" si="76"/>
        <v>-1.5590200445434407E-2</v>
      </c>
      <c r="X86" s="207">
        <f t="shared" si="76"/>
        <v>2.714932126696833E-2</v>
      </c>
      <c r="Y86" s="276">
        <f t="shared" si="76"/>
        <v>-2.2026431718061828E-3</v>
      </c>
      <c r="Z86" s="276">
        <f t="shared" si="76"/>
        <v>-0.3736977244954755</v>
      </c>
      <c r="AA86" s="276">
        <f t="shared" si="76"/>
        <v>6.696838534572172E-2</v>
      </c>
      <c r="AB86" s="276">
        <f t="shared" si="76"/>
        <v>0.32622777915942369</v>
      </c>
      <c r="AC86" s="298">
        <f>AVERAGE(Y86:AB86,AE86)</f>
        <v>2.7761534205195927E-2</v>
      </c>
      <c r="AD86" s="298">
        <f>AVERAGE(W86:Y86)</f>
        <v>3.1188258832425802E-3</v>
      </c>
      <c r="AE86" s="355">
        <f>AE74/AB62</f>
        <v>0.12151187418811588</v>
      </c>
      <c r="AF86" s="344"/>
      <c r="AG86" s="366">
        <v>3.1188258832425802E-3</v>
      </c>
      <c r="AH86" s="366">
        <v>3.1188258832425802E-3</v>
      </c>
      <c r="AI86" s="366">
        <v>3.1188258832425802E-3</v>
      </c>
      <c r="AJ86" s="366">
        <v>3.1188258832425802E-3</v>
      </c>
      <c r="AK86" s="366">
        <v>3.1188258832425802E-3</v>
      </c>
      <c r="AL86" s="366">
        <v>3.1188258832425802E-3</v>
      </c>
      <c r="AM86" s="366">
        <v>3.1188258832425802E-3</v>
      </c>
      <c r="AN86" s="366">
        <v>3.1188258832425802E-3</v>
      </c>
      <c r="AO86" s="366">
        <v>3.1188258832425802E-3</v>
      </c>
      <c r="AP86" s="344"/>
    </row>
    <row r="87" spans="1:42" s="112" customFormat="1">
      <c r="A87" s="74" t="s">
        <v>203</v>
      </c>
      <c r="B87" s="74"/>
      <c r="C87" s="75"/>
      <c r="D87" s="78" t="e">
        <f t="shared" si="76"/>
        <v>#VALUE!</v>
      </c>
      <c r="E87" s="78" t="e">
        <f t="shared" si="76"/>
        <v>#DIV/0!</v>
      </c>
      <c r="F87" s="78" t="e">
        <f t="shared" si="76"/>
        <v>#DIV/0!</v>
      </c>
      <c r="G87" s="78" t="e">
        <f t="shared" si="76"/>
        <v>#DIV/0!</v>
      </c>
      <c r="H87" s="78" t="e">
        <f t="shared" si="76"/>
        <v>#DIV/0!</v>
      </c>
      <c r="I87" s="78" t="e">
        <f t="shared" si="76"/>
        <v>#DIV/0!</v>
      </c>
      <c r="J87" s="78" t="e">
        <f t="shared" si="76"/>
        <v>#DIV/0!</v>
      </c>
      <c r="K87" s="78" t="e">
        <f t="shared" si="76"/>
        <v>#DIV/0!</v>
      </c>
      <c r="L87" s="78" t="e">
        <f t="shared" si="76"/>
        <v>#DIV/0!</v>
      </c>
      <c r="M87" s="78" t="e">
        <f t="shared" si="76"/>
        <v>#DIV/0!</v>
      </c>
      <c r="N87" s="78" t="e">
        <f t="shared" si="76"/>
        <v>#DIV/0!</v>
      </c>
      <c r="O87" s="78" t="e">
        <f t="shared" si="76"/>
        <v>#DIV/0!</v>
      </c>
      <c r="P87" s="78" t="e">
        <f t="shared" si="76"/>
        <v>#DIV/0!</v>
      </c>
      <c r="Q87" s="78" t="e">
        <f t="shared" si="76"/>
        <v>#DIV/0!</v>
      </c>
      <c r="R87" s="78" t="e">
        <f t="shared" si="76"/>
        <v>#DIV/0!</v>
      </c>
      <c r="S87" s="78" t="e">
        <f t="shared" si="76"/>
        <v>#DIV/0!</v>
      </c>
      <c r="T87" s="78" t="e">
        <f t="shared" si="76"/>
        <v>#DIV/0!</v>
      </c>
      <c r="U87" s="78" t="e">
        <f t="shared" si="76"/>
        <v>#DIV/0!</v>
      </c>
      <c r="V87" s="78" t="e">
        <f t="shared" si="76"/>
        <v>#DIV/0!</v>
      </c>
      <c r="W87" s="78">
        <f t="shared" si="76"/>
        <v>8.5194375858419602E-2</v>
      </c>
      <c r="X87" s="78">
        <f t="shared" si="76"/>
        <v>9.2601425567993945E-2</v>
      </c>
      <c r="Y87" s="78">
        <f t="shared" si="76"/>
        <v>-6.0434377374289031E-3</v>
      </c>
      <c r="Z87" s="78">
        <f t="shared" si="76"/>
        <v>-0.42838044491020816</v>
      </c>
      <c r="AA87" s="78">
        <f t="shared" si="76"/>
        <v>-6.9096351170878895E-2</v>
      </c>
      <c r="AB87" s="78">
        <f t="shared" si="76"/>
        <v>0.26896963675677626</v>
      </c>
      <c r="AC87" s="99">
        <f>AVERAGE(AC79,AC84,AC85,AC86)</f>
        <v>1.1812746549985875E-2</v>
      </c>
      <c r="AD87" s="99">
        <f>AVERAGE(AD79,AD84,AD85,AD86)</f>
        <v>1.5140283018148067E-2</v>
      </c>
      <c r="AE87" s="368">
        <f>AVERAGE(AE85:AE86)</f>
        <v>9.7402300897845212E-2</v>
      </c>
      <c r="AF87" s="345"/>
      <c r="AG87" s="345">
        <f>AVERAGE(AG79:AG86)</f>
        <v>1.4830196759155943E-2</v>
      </c>
      <c r="AH87" s="345">
        <f t="shared" ref="AH87:AO87" si="80">AVERAGE(AH79:AH86)</f>
        <v>1.4830196759155943E-2</v>
      </c>
      <c r="AI87" s="345">
        <f t="shared" si="80"/>
        <v>1.4830196759155943E-2</v>
      </c>
      <c r="AJ87" s="345">
        <f t="shared" si="80"/>
        <v>1.4830196759155943E-2</v>
      </c>
      <c r="AK87" s="345">
        <f t="shared" si="80"/>
        <v>1.4830196759155943E-2</v>
      </c>
      <c r="AL87" s="345">
        <f t="shared" si="80"/>
        <v>1.4830196759155943E-2</v>
      </c>
      <c r="AM87" s="345">
        <f t="shared" si="80"/>
        <v>1.4830196759155943E-2</v>
      </c>
      <c r="AN87" s="345">
        <f t="shared" si="80"/>
        <v>1.4830196759155943E-2</v>
      </c>
      <c r="AO87" s="345">
        <f t="shared" si="80"/>
        <v>1.4830196759155943E-2</v>
      </c>
      <c r="AP87" s="345"/>
    </row>
    <row r="88" spans="1:42">
      <c r="AE88" s="346"/>
      <c r="AF88" s="346"/>
      <c r="AG88" s="346"/>
      <c r="AH88" s="346"/>
      <c r="AI88" s="346"/>
      <c r="AJ88" s="346"/>
      <c r="AK88" s="346"/>
      <c r="AL88" s="346"/>
      <c r="AM88" s="346"/>
      <c r="AN88" s="346"/>
      <c r="AO88" s="346"/>
      <c r="AP88" s="346"/>
    </row>
    <row r="89" spans="1:42">
      <c r="A89" s="71">
        <v>8</v>
      </c>
      <c r="B89" s="71" t="s">
        <v>265</v>
      </c>
      <c r="C89" s="1910" t="s">
        <v>493</v>
      </c>
      <c r="D89" s="1910"/>
      <c r="E89" s="1910"/>
      <c r="F89" s="1910"/>
      <c r="G89" s="1910"/>
      <c r="H89" s="1910"/>
      <c r="I89" s="1910"/>
      <c r="J89" s="1910"/>
      <c r="K89" s="1910"/>
      <c r="L89" s="1910"/>
      <c r="M89" s="1910"/>
      <c r="N89" s="1910"/>
      <c r="O89" s="1910"/>
      <c r="P89" s="1910"/>
      <c r="Q89" s="1910"/>
      <c r="R89" s="1910"/>
      <c r="S89" s="1910"/>
      <c r="T89" s="1910"/>
      <c r="U89" s="1910"/>
      <c r="V89" s="1910"/>
      <c r="W89" s="1910"/>
      <c r="X89" s="1910"/>
      <c r="Y89" s="1910"/>
      <c r="Z89" s="1910"/>
      <c r="AA89" s="1910"/>
      <c r="AB89" s="1910"/>
      <c r="AC89" s="86"/>
      <c r="AD89" s="86"/>
      <c r="AE89" s="347"/>
      <c r="AF89" s="347"/>
      <c r="AG89" s="347"/>
      <c r="AH89" s="347"/>
      <c r="AI89" s="347"/>
      <c r="AJ89" s="347"/>
      <c r="AK89" s="347"/>
      <c r="AL89" s="347"/>
      <c r="AM89" s="347"/>
      <c r="AN89" s="347"/>
      <c r="AO89" s="347"/>
      <c r="AP89" s="347"/>
    </row>
    <row r="90" spans="1:42">
      <c r="A90" s="71" t="s">
        <v>265</v>
      </c>
      <c r="B90" s="71" t="s">
        <v>357</v>
      </c>
      <c r="C90" s="72" t="s">
        <v>284</v>
      </c>
      <c r="D90" s="72" t="s">
        <v>285</v>
      </c>
      <c r="E90" s="72" t="s">
        <v>286</v>
      </c>
      <c r="F90" s="72" t="s">
        <v>287</v>
      </c>
      <c r="G90" s="72" t="s">
        <v>288</v>
      </c>
      <c r="H90" s="72" t="s">
        <v>289</v>
      </c>
      <c r="I90" s="72" t="s">
        <v>290</v>
      </c>
      <c r="J90" s="72" t="s">
        <v>291</v>
      </c>
      <c r="K90" s="72" t="s">
        <v>292</v>
      </c>
      <c r="L90" s="72" t="s">
        <v>293</v>
      </c>
      <c r="M90" s="72" t="s">
        <v>294</v>
      </c>
      <c r="N90" s="72" t="s">
        <v>295</v>
      </c>
      <c r="O90" s="72" t="s">
        <v>296</v>
      </c>
      <c r="P90" s="72" t="s">
        <v>297</v>
      </c>
      <c r="Q90" s="72" t="s">
        <v>298</v>
      </c>
      <c r="R90" s="72" t="s">
        <v>299</v>
      </c>
      <c r="S90" s="72" t="s">
        <v>300</v>
      </c>
      <c r="T90" s="72" t="s">
        <v>301</v>
      </c>
      <c r="U90" s="72" t="s">
        <v>302</v>
      </c>
      <c r="V90" s="72" t="s">
        <v>303</v>
      </c>
      <c r="W90" s="72" t="s">
        <v>304</v>
      </c>
      <c r="X90" s="72" t="s">
        <v>305</v>
      </c>
      <c r="Y90" s="72" t="s">
        <v>306</v>
      </c>
      <c r="Z90" s="72" t="s">
        <v>307</v>
      </c>
      <c r="AA90" s="72" t="s">
        <v>308</v>
      </c>
      <c r="AB90" s="72" t="s">
        <v>309</v>
      </c>
      <c r="AC90" s="72" t="s">
        <v>340</v>
      </c>
      <c r="AD90" s="72" t="s">
        <v>355</v>
      </c>
      <c r="AE90" s="72" t="s">
        <v>356</v>
      </c>
      <c r="AF90" s="348" t="s">
        <v>341</v>
      </c>
      <c r="AG90" s="348" t="s">
        <v>342</v>
      </c>
      <c r="AH90" s="348" t="s">
        <v>343</v>
      </c>
      <c r="AI90" s="348" t="s">
        <v>344</v>
      </c>
      <c r="AJ90" s="348" t="s">
        <v>345</v>
      </c>
      <c r="AK90" s="348" t="s">
        <v>346</v>
      </c>
      <c r="AL90" s="348" t="s">
        <v>347</v>
      </c>
      <c r="AM90" s="348" t="s">
        <v>348</v>
      </c>
      <c r="AN90" s="348" t="s">
        <v>349</v>
      </c>
      <c r="AO90" s="348" t="s">
        <v>350</v>
      </c>
      <c r="AP90" s="348" t="s">
        <v>353</v>
      </c>
    </row>
    <row r="91" spans="1:42">
      <c r="A91" s="72" t="s">
        <v>315</v>
      </c>
      <c r="B91" s="102"/>
      <c r="C91" s="76"/>
      <c r="D91" s="77"/>
      <c r="E91" s="77"/>
      <c r="F91" s="77"/>
      <c r="G91" s="77"/>
      <c r="H91" s="77"/>
      <c r="I91" s="77"/>
      <c r="J91" s="77"/>
      <c r="K91" s="77"/>
      <c r="L91" s="77"/>
      <c r="M91" s="77"/>
      <c r="N91" s="77"/>
      <c r="O91" s="77"/>
      <c r="P91" s="77"/>
      <c r="Q91" s="77"/>
      <c r="R91" s="77"/>
      <c r="S91" s="77"/>
      <c r="T91" s="77"/>
      <c r="U91" s="77"/>
      <c r="V91" s="207">
        <f>AE91</f>
        <v>0.6781094057075604</v>
      </c>
      <c r="W91" s="276">
        <f>W55/W19</f>
        <v>0.67011943319838052</v>
      </c>
      <c r="X91" s="276">
        <f t="shared" ref="X91:AB91" si="81">X55/X19</f>
        <v>0.67579141104294482</v>
      </c>
      <c r="Y91" s="276">
        <f t="shared" si="81"/>
        <v>0.68841737288135596</v>
      </c>
      <c r="Z91" s="276">
        <f t="shared" si="81"/>
        <v>0.74227561837455835</v>
      </c>
      <c r="AA91" s="276">
        <f t="shared" si="81"/>
        <v>0.82778125000000002</v>
      </c>
      <c r="AB91" s="276">
        <f t="shared" si="81"/>
        <v>0.79469364161849709</v>
      </c>
      <c r="AC91" s="207">
        <f>AD91</f>
        <v>0.73317978785262283</v>
      </c>
      <c r="AD91" s="298">
        <f>AVERAGE(W91:AB91)</f>
        <v>0.73317978785262283</v>
      </c>
      <c r="AE91" s="349">
        <f>AVERAGE(W91:Y91)</f>
        <v>0.6781094057075604</v>
      </c>
      <c r="AF91" s="350"/>
      <c r="AG91" s="350"/>
      <c r="AH91" s="350"/>
      <c r="AI91" s="350"/>
      <c r="AJ91" s="350"/>
      <c r="AK91" s="350"/>
      <c r="AL91" s="350"/>
      <c r="AM91" s="350"/>
      <c r="AN91" s="350"/>
      <c r="AO91" s="350"/>
      <c r="AP91" s="351"/>
    </row>
    <row r="92" spans="1:42">
      <c r="A92" s="72" t="s">
        <v>310</v>
      </c>
      <c r="B92" s="103"/>
      <c r="C92" s="76"/>
      <c r="D92" s="77"/>
      <c r="E92" s="77"/>
      <c r="F92" s="77"/>
      <c r="G92" s="77"/>
      <c r="H92" s="77"/>
      <c r="I92" s="77"/>
      <c r="J92" s="77"/>
      <c r="K92" s="77"/>
      <c r="L92" s="77"/>
      <c r="M92" s="77"/>
      <c r="N92" s="77"/>
      <c r="O92" s="77"/>
      <c r="P92" s="77"/>
      <c r="Q92" s="77"/>
      <c r="R92" s="77"/>
      <c r="S92" s="77"/>
      <c r="T92" s="77"/>
      <c r="U92" s="77"/>
      <c r="V92" s="207">
        <f t="shared" ref="V92:V98" si="82">AE92</f>
        <v>0.62075293051233427</v>
      </c>
      <c r="W92" s="207">
        <f>$AD$99</f>
        <v>0.62075293051233427</v>
      </c>
      <c r="X92" s="207">
        <f t="shared" ref="X92:AB95" si="83">$AD$99</f>
        <v>0.62075293051233427</v>
      </c>
      <c r="Y92" s="207">
        <f t="shared" si="83"/>
        <v>0.62075293051233427</v>
      </c>
      <c r="Z92" s="207">
        <f t="shared" si="83"/>
        <v>0.62075293051233427</v>
      </c>
      <c r="AA92" s="207">
        <f t="shared" si="83"/>
        <v>0.62075293051233427</v>
      </c>
      <c r="AB92" s="207">
        <f t="shared" si="83"/>
        <v>0.62075293051233427</v>
      </c>
      <c r="AC92" s="207">
        <f t="shared" ref="AC92:AC98" si="84">AD92</f>
        <v>0.62075293051233427</v>
      </c>
      <c r="AD92" s="299">
        <f>AVERAGE(W92:AB92)</f>
        <v>0.62075293051233427</v>
      </c>
      <c r="AE92" s="352">
        <f>AVERAGE(W92:Y92)</f>
        <v>0.62075293051233427</v>
      </c>
      <c r="AF92" s="350"/>
      <c r="AG92" s="350"/>
      <c r="AH92" s="350"/>
      <c r="AI92" s="350"/>
      <c r="AJ92" s="350"/>
      <c r="AK92" s="350"/>
      <c r="AL92" s="350"/>
      <c r="AM92" s="350"/>
      <c r="AN92" s="350"/>
      <c r="AO92" s="350"/>
      <c r="AP92" s="351"/>
    </row>
    <row r="93" spans="1:42">
      <c r="A93" s="72" t="s">
        <v>317</v>
      </c>
      <c r="B93" s="103"/>
      <c r="C93" s="76"/>
      <c r="D93" s="77"/>
      <c r="E93" s="77"/>
      <c r="F93" s="77"/>
      <c r="G93" s="77"/>
      <c r="H93" s="77"/>
      <c r="I93" s="77"/>
      <c r="J93" s="77"/>
      <c r="K93" s="77"/>
      <c r="L93" s="77"/>
      <c r="M93" s="77"/>
      <c r="N93" s="77"/>
      <c r="O93" s="77"/>
      <c r="P93" s="77"/>
      <c r="Q93" s="77"/>
      <c r="R93" s="77"/>
      <c r="S93" s="77"/>
      <c r="T93" s="77"/>
      <c r="U93" s="77"/>
      <c r="V93" s="207">
        <f t="shared" si="82"/>
        <v>0.62075293051233427</v>
      </c>
      <c r="W93" s="207">
        <f t="shared" ref="W93:W95" si="85">$AD$99</f>
        <v>0.62075293051233427</v>
      </c>
      <c r="X93" s="207">
        <f t="shared" si="83"/>
        <v>0.62075293051233427</v>
      </c>
      <c r="Y93" s="207">
        <f t="shared" si="83"/>
        <v>0.62075293051233427</v>
      </c>
      <c r="Z93" s="207">
        <f t="shared" si="83"/>
        <v>0.62075293051233427</v>
      </c>
      <c r="AA93" s="207">
        <f t="shared" si="83"/>
        <v>0.62075293051233427</v>
      </c>
      <c r="AB93" s="207">
        <f t="shared" si="83"/>
        <v>0.62075293051233427</v>
      </c>
      <c r="AC93" s="207">
        <f t="shared" si="84"/>
        <v>0.62075293051233427</v>
      </c>
      <c r="AD93" s="299">
        <f t="shared" ref="AD93:AD98" si="86">AVERAGE(W93:AB93)</f>
        <v>0.62075293051233427</v>
      </c>
      <c r="AE93" s="352">
        <f t="shared" ref="AE93:AE95" si="87">AVERAGE(X93:Y93)</f>
        <v>0.62075293051233427</v>
      </c>
      <c r="AF93" s="350"/>
      <c r="AG93" s="350"/>
      <c r="AH93" s="350"/>
      <c r="AI93" s="350"/>
      <c r="AJ93" s="350"/>
      <c r="AK93" s="350"/>
      <c r="AL93" s="350"/>
      <c r="AM93" s="350"/>
      <c r="AN93" s="350"/>
      <c r="AO93" s="350"/>
      <c r="AP93" s="351"/>
    </row>
    <row r="94" spans="1:42">
      <c r="A94" s="72" t="s">
        <v>313</v>
      </c>
      <c r="B94" s="103"/>
      <c r="C94" s="76"/>
      <c r="D94" s="77"/>
      <c r="E94" s="77"/>
      <c r="F94" s="77"/>
      <c r="G94" s="77"/>
      <c r="H94" s="77"/>
      <c r="I94" s="77"/>
      <c r="J94" s="77"/>
      <c r="K94" s="77"/>
      <c r="L94" s="77"/>
      <c r="M94" s="77"/>
      <c r="N94" s="77"/>
      <c r="O94" s="77"/>
      <c r="P94" s="77"/>
      <c r="Q94" s="77"/>
      <c r="R94" s="77"/>
      <c r="S94" s="77"/>
      <c r="T94" s="77"/>
      <c r="U94" s="77"/>
      <c r="V94" s="207">
        <f t="shared" si="82"/>
        <v>0.62075293051233427</v>
      </c>
      <c r="W94" s="207">
        <f t="shared" si="85"/>
        <v>0.62075293051233427</v>
      </c>
      <c r="X94" s="207">
        <f t="shared" si="83"/>
        <v>0.62075293051233427</v>
      </c>
      <c r="Y94" s="207">
        <f t="shared" si="83"/>
        <v>0.62075293051233427</v>
      </c>
      <c r="Z94" s="207">
        <f t="shared" si="83"/>
        <v>0.62075293051233427</v>
      </c>
      <c r="AA94" s="207">
        <f t="shared" si="83"/>
        <v>0.62075293051233427</v>
      </c>
      <c r="AB94" s="207">
        <f t="shared" si="83"/>
        <v>0.62075293051233427</v>
      </c>
      <c r="AC94" s="207">
        <f t="shared" si="84"/>
        <v>0.62075293051233427</v>
      </c>
      <c r="AD94" s="299">
        <f t="shared" si="86"/>
        <v>0.62075293051233427</v>
      </c>
      <c r="AE94" s="352">
        <f t="shared" si="87"/>
        <v>0.62075293051233427</v>
      </c>
      <c r="AF94" s="350"/>
      <c r="AG94" s="350"/>
      <c r="AH94" s="350"/>
      <c r="AI94" s="350"/>
      <c r="AJ94" s="350"/>
      <c r="AK94" s="350"/>
      <c r="AL94" s="350"/>
      <c r="AM94" s="350"/>
      <c r="AN94" s="350"/>
      <c r="AO94" s="350"/>
      <c r="AP94" s="351"/>
    </row>
    <row r="95" spans="1:42">
      <c r="A95" s="72" t="s">
        <v>316</v>
      </c>
      <c r="B95" s="103"/>
      <c r="C95" s="76"/>
      <c r="D95" s="77"/>
      <c r="E95" s="77"/>
      <c r="F95" s="77"/>
      <c r="G95" s="77"/>
      <c r="H95" s="77"/>
      <c r="I95" s="77"/>
      <c r="J95" s="77"/>
      <c r="K95" s="77"/>
      <c r="L95" s="77"/>
      <c r="M95" s="77"/>
      <c r="N95" s="77"/>
      <c r="O95" s="77"/>
      <c r="P95" s="77"/>
      <c r="Q95" s="77"/>
      <c r="R95" s="77"/>
      <c r="S95" s="77"/>
      <c r="T95" s="77"/>
      <c r="U95" s="77"/>
      <c r="V95" s="207">
        <f t="shared" si="82"/>
        <v>0.62075293051233427</v>
      </c>
      <c r="W95" s="207">
        <f t="shared" si="85"/>
        <v>0.62075293051233427</v>
      </c>
      <c r="X95" s="207">
        <f t="shared" si="83"/>
        <v>0.62075293051233427</v>
      </c>
      <c r="Y95" s="207">
        <f t="shared" si="83"/>
        <v>0.62075293051233427</v>
      </c>
      <c r="Z95" s="207">
        <f t="shared" si="83"/>
        <v>0.62075293051233427</v>
      </c>
      <c r="AA95" s="207">
        <f t="shared" si="83"/>
        <v>0.62075293051233427</v>
      </c>
      <c r="AB95" s="207">
        <f t="shared" si="83"/>
        <v>0.62075293051233427</v>
      </c>
      <c r="AC95" s="207">
        <f t="shared" si="84"/>
        <v>0.62075293051233427</v>
      </c>
      <c r="AD95" s="299">
        <f t="shared" si="86"/>
        <v>0.62075293051233427</v>
      </c>
      <c r="AE95" s="352">
        <f t="shared" si="87"/>
        <v>0.62075293051233427</v>
      </c>
      <c r="AF95" s="350"/>
      <c r="AG95" s="350"/>
      <c r="AH95" s="350"/>
      <c r="AI95" s="350"/>
      <c r="AJ95" s="350"/>
      <c r="AK95" s="350"/>
      <c r="AL95" s="350"/>
      <c r="AM95" s="350"/>
      <c r="AN95" s="350"/>
      <c r="AO95" s="350"/>
      <c r="AP95" s="351"/>
    </row>
    <row r="96" spans="1:42">
      <c r="A96" s="72" t="s">
        <v>312</v>
      </c>
      <c r="B96" s="103"/>
      <c r="C96" s="76"/>
      <c r="D96" s="77"/>
      <c r="E96" s="77"/>
      <c r="F96" s="77"/>
      <c r="G96" s="77"/>
      <c r="H96" s="77"/>
      <c r="I96" s="77"/>
      <c r="J96" s="77"/>
      <c r="K96" s="77"/>
      <c r="L96" s="77"/>
      <c r="M96" s="77"/>
      <c r="N96" s="77"/>
      <c r="O96" s="77"/>
      <c r="P96" s="77"/>
      <c r="Q96" s="77"/>
      <c r="R96" s="77"/>
      <c r="S96" s="77"/>
      <c r="T96" s="77"/>
      <c r="U96" s="77"/>
      <c r="V96" s="207">
        <f t="shared" si="82"/>
        <v>0.50983622869140144</v>
      </c>
      <c r="W96" s="276">
        <f>W60/W24</f>
        <v>0.51984427605118833</v>
      </c>
      <c r="X96" s="276">
        <f t="shared" ref="X96:AB98" si="88">X60/X24</f>
        <v>0.50350368054412276</v>
      </c>
      <c r="Y96" s="276">
        <f t="shared" si="88"/>
        <v>0.50616072947889301</v>
      </c>
      <c r="Z96" s="276">
        <f t="shared" si="88"/>
        <v>0.60919958530099549</v>
      </c>
      <c r="AA96" s="276">
        <f t="shared" si="88"/>
        <v>0.67197423046317162</v>
      </c>
      <c r="AB96" s="276">
        <f t="shared" si="88"/>
        <v>0.70313985359949327</v>
      </c>
      <c r="AC96" s="207">
        <f t="shared" si="84"/>
        <v>0.58563705923964415</v>
      </c>
      <c r="AD96" s="298">
        <f t="shared" si="86"/>
        <v>0.58563705923964415</v>
      </c>
      <c r="AE96" s="349">
        <f>AVERAGE(W96:Y96)</f>
        <v>0.50983622869140144</v>
      </c>
      <c r="AF96" s="350"/>
      <c r="AG96" s="350"/>
      <c r="AH96" s="350"/>
      <c r="AI96" s="350"/>
      <c r="AJ96" s="350"/>
      <c r="AK96" s="350"/>
      <c r="AL96" s="350"/>
      <c r="AM96" s="350"/>
      <c r="AN96" s="350"/>
      <c r="AO96" s="350"/>
      <c r="AP96" s="351"/>
    </row>
    <row r="97" spans="1:42">
      <c r="A97" s="72" t="s">
        <v>311</v>
      </c>
      <c r="B97" s="103"/>
      <c r="C97" s="76"/>
      <c r="D97" s="77"/>
      <c r="E97" s="77"/>
      <c r="F97" s="77"/>
      <c r="G97" s="77"/>
      <c r="H97" s="77"/>
      <c r="I97" s="77"/>
      <c r="J97" s="77"/>
      <c r="K97" s="77"/>
      <c r="L97" s="77"/>
      <c r="M97" s="77"/>
      <c r="N97" s="77"/>
      <c r="O97" s="77"/>
      <c r="P97" s="77"/>
      <c r="Q97" s="77"/>
      <c r="R97" s="77"/>
      <c r="S97" s="77"/>
      <c r="T97" s="77"/>
      <c r="U97" s="77"/>
      <c r="V97" s="207">
        <f t="shared" si="82"/>
        <v>0.38891715441176472</v>
      </c>
      <c r="W97" s="207">
        <f>$AE$97</f>
        <v>0.38891715441176472</v>
      </c>
      <c r="X97" s="207">
        <f>$AE$97</f>
        <v>0.38891715441176472</v>
      </c>
      <c r="Y97" s="276">
        <f t="shared" si="88"/>
        <v>0.38891715441176472</v>
      </c>
      <c r="Z97" s="276">
        <f t="shared" si="88"/>
        <v>0.33919986329113921</v>
      </c>
      <c r="AA97" s="276">
        <f t="shared" si="88"/>
        <v>0.31454401196172249</v>
      </c>
      <c r="AB97" s="276">
        <f t="shared" si="88"/>
        <v>0.41992802823529413</v>
      </c>
      <c r="AC97" s="207">
        <f t="shared" si="84"/>
        <v>0.37340389445390837</v>
      </c>
      <c r="AD97" s="298">
        <f t="shared" si="86"/>
        <v>0.37340389445390837</v>
      </c>
      <c r="AE97" s="349">
        <f>AVERAGE(Y97)</f>
        <v>0.38891715441176472</v>
      </c>
      <c r="AF97" s="350"/>
      <c r="AG97" s="350"/>
      <c r="AH97" s="350"/>
      <c r="AI97" s="350"/>
      <c r="AJ97" s="350"/>
      <c r="AK97" s="350"/>
      <c r="AL97" s="350"/>
      <c r="AM97" s="350"/>
      <c r="AN97" s="350"/>
      <c r="AO97" s="350"/>
      <c r="AP97" s="351"/>
    </row>
    <row r="98" spans="1:42">
      <c r="A98" s="72" t="s">
        <v>314</v>
      </c>
      <c r="B98" s="104"/>
      <c r="C98" s="76"/>
      <c r="D98" s="77"/>
      <c r="E98" s="77"/>
      <c r="F98" s="77"/>
      <c r="G98" s="77"/>
      <c r="H98" s="77"/>
      <c r="I98" s="77"/>
      <c r="J98" s="77"/>
      <c r="K98" s="77"/>
      <c r="L98" s="77"/>
      <c r="M98" s="77"/>
      <c r="N98" s="77"/>
      <c r="O98" s="77"/>
      <c r="P98" s="77"/>
      <c r="Q98" s="77"/>
      <c r="R98" s="77"/>
      <c r="S98" s="77"/>
      <c r="T98" s="77"/>
      <c r="U98" s="77"/>
      <c r="V98" s="207">
        <f t="shared" si="82"/>
        <v>0.72719249006622522</v>
      </c>
      <c r="W98" s="207">
        <f>$AE$98</f>
        <v>0.72719249006622522</v>
      </c>
      <c r="X98" s="207">
        <f>$AE$98</f>
        <v>0.72719249006622522</v>
      </c>
      <c r="Y98" s="276">
        <f t="shared" si="88"/>
        <v>0.72719249006622522</v>
      </c>
      <c r="Z98" s="276">
        <f t="shared" si="88"/>
        <v>0.825261468</v>
      </c>
      <c r="AA98" s="276">
        <f t="shared" si="88"/>
        <v>0.85322470542635664</v>
      </c>
      <c r="AB98" s="276">
        <f t="shared" si="88"/>
        <v>0.88468223939393942</v>
      </c>
      <c r="AC98" s="207">
        <f t="shared" si="84"/>
        <v>0.79079098050316177</v>
      </c>
      <c r="AD98" s="298">
        <f t="shared" si="86"/>
        <v>0.79079098050316177</v>
      </c>
      <c r="AE98" s="349">
        <f>AVERAGE(Y98)</f>
        <v>0.72719249006622522</v>
      </c>
      <c r="AF98" s="350"/>
      <c r="AG98" s="350"/>
      <c r="AH98" s="350"/>
      <c r="AI98" s="350"/>
      <c r="AJ98" s="350"/>
      <c r="AK98" s="350"/>
      <c r="AL98" s="350"/>
      <c r="AM98" s="350"/>
      <c r="AN98" s="350"/>
      <c r="AO98" s="350"/>
      <c r="AP98" s="351"/>
    </row>
    <row r="99" spans="1:42" s="61" customFormat="1">
      <c r="A99" s="74" t="s">
        <v>203</v>
      </c>
      <c r="B99" s="74"/>
      <c r="C99" s="75"/>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172">
        <f>AVERAGE(AD91,AD96,AD97,AD98)</f>
        <v>0.62075293051233427</v>
      </c>
      <c r="AE99" s="353">
        <f>AVERAGE(AE91,AE96,AE97,AE98)</f>
        <v>0.57601381971923793</v>
      </c>
      <c r="AF99" s="350"/>
      <c r="AG99" s="350"/>
      <c r="AH99" s="350"/>
      <c r="AI99" s="350"/>
      <c r="AJ99" s="350"/>
      <c r="AK99" s="350"/>
      <c r="AL99" s="350"/>
      <c r="AM99" s="350"/>
      <c r="AN99" s="350"/>
      <c r="AO99" s="350"/>
      <c r="AP99" s="354"/>
    </row>
    <row r="100" spans="1:42">
      <c r="AE100" s="346"/>
      <c r="AF100" s="346"/>
      <c r="AG100" s="346"/>
      <c r="AH100" s="346"/>
      <c r="AI100" s="346"/>
      <c r="AJ100" s="346"/>
      <c r="AK100" s="346"/>
      <c r="AL100" s="346"/>
      <c r="AM100" s="346"/>
      <c r="AN100" s="346"/>
      <c r="AO100" s="346"/>
      <c r="AP100" s="346"/>
    </row>
    <row r="101" spans="1:42">
      <c r="AE101" s="346"/>
      <c r="AF101" s="346"/>
      <c r="AG101" s="346"/>
      <c r="AH101" s="346"/>
      <c r="AI101" s="346"/>
      <c r="AJ101" s="346"/>
      <c r="AK101" s="346"/>
      <c r="AL101" s="346"/>
      <c r="AM101" s="346"/>
      <c r="AN101" s="346"/>
      <c r="AO101" s="346"/>
      <c r="AP101" s="346"/>
    </row>
    <row r="102" spans="1:42">
      <c r="AE102" s="346"/>
      <c r="AF102" s="346"/>
      <c r="AG102" s="346"/>
      <c r="AH102" s="346"/>
      <c r="AI102" s="346"/>
      <c r="AJ102" s="346"/>
      <c r="AK102" s="346"/>
      <c r="AL102" s="346"/>
      <c r="AM102" s="346"/>
      <c r="AN102" s="346"/>
      <c r="AO102" s="346"/>
      <c r="AP102" s="346"/>
    </row>
    <row r="103" spans="1:42">
      <c r="AE103" s="346"/>
      <c r="AF103" s="346"/>
      <c r="AG103" s="346"/>
      <c r="AH103" s="346"/>
      <c r="AI103" s="346"/>
      <c r="AJ103" s="346"/>
      <c r="AK103" s="346"/>
      <c r="AL103" s="346"/>
      <c r="AM103" s="346"/>
      <c r="AN103" s="346"/>
      <c r="AO103" s="346"/>
      <c r="AP103" s="346"/>
    </row>
    <row r="104" spans="1:42">
      <c r="AE104" s="346"/>
      <c r="AF104" s="346"/>
      <c r="AG104" s="346"/>
      <c r="AH104" s="346"/>
      <c r="AI104" s="346"/>
      <c r="AJ104" s="346"/>
      <c r="AK104" s="346"/>
      <c r="AL104" s="346"/>
      <c r="AM104" s="346"/>
      <c r="AN104" s="346"/>
      <c r="AO104" s="346"/>
      <c r="AP104" s="346"/>
    </row>
  </sheetData>
  <mergeCells count="23">
    <mergeCell ref="B43:B50"/>
    <mergeCell ref="C5:AB5"/>
    <mergeCell ref="C17:AB17"/>
    <mergeCell ref="C29:AB29"/>
    <mergeCell ref="C41:AB41"/>
    <mergeCell ref="B7:B14"/>
    <mergeCell ref="B19:B26"/>
    <mergeCell ref="B31:B38"/>
    <mergeCell ref="C53:AB53"/>
    <mergeCell ref="B55:B62"/>
    <mergeCell ref="C65:AB65"/>
    <mergeCell ref="B67:B74"/>
    <mergeCell ref="C77:AB77"/>
    <mergeCell ref="C61:U61"/>
    <mergeCell ref="C62:U62"/>
    <mergeCell ref="B79:B86"/>
    <mergeCell ref="C89:AB89"/>
    <mergeCell ref="C55:U55"/>
    <mergeCell ref="C56:U56"/>
    <mergeCell ref="C57:U57"/>
    <mergeCell ref="C58:U58"/>
    <mergeCell ref="C59:U59"/>
    <mergeCell ref="C60:U60"/>
  </mergeCells>
  <hyperlinks>
    <hyperlink ref="A4" r:id="rId1" location="!/view/sk/vbd_sk_win2/do3801rr/v_do3801rr_00_00_00_sk"/>
  </hyperlinks>
  <pageMargins left="0.75" right="0.75" top="1" bottom="1" header="0.5" footer="0.5"/>
  <pageSetup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38"/>
  <sheetViews>
    <sheetView showGridLines="0" workbookViewId="0">
      <pane xSplit="1" ySplit="5" topLeftCell="B6" activePane="bottomRight" state="frozen"/>
      <selection pane="topRight" activeCell="B1" sqref="B1"/>
      <selection pane="bottomLeft" activeCell="A8" sqref="A8"/>
      <selection pane="bottomRight" activeCell="AE12" sqref="AE12"/>
    </sheetView>
  </sheetViews>
  <sheetFormatPr defaultColWidth="8.85546875" defaultRowHeight="12.75"/>
  <cols>
    <col min="1" max="1" width="8.85546875" style="111" bestFit="1"/>
    <col min="2" max="2" width="16.5703125" style="111" customWidth="1"/>
    <col min="3" max="3" width="11.85546875" style="111" customWidth="1"/>
    <col min="4" max="4" width="13.7109375" style="111" customWidth="1"/>
    <col min="5" max="22" width="9.85546875" style="111" bestFit="1" customWidth="1"/>
    <col min="23" max="28" width="11.140625" style="111" customWidth="1"/>
    <col min="29" max="49" width="8.85546875" style="111" bestFit="1"/>
    <col min="50" max="16384" width="8.85546875" style="111"/>
  </cols>
  <sheetData>
    <row r="1" spans="1:42" ht="15">
      <c r="A1" s="62"/>
      <c r="B1" s="62"/>
      <c r="C1" s="62"/>
      <c r="D1" s="113"/>
    </row>
    <row r="2" spans="1:42">
      <c r="A2" s="114"/>
      <c r="B2" s="114"/>
    </row>
    <row r="3" spans="1:42" ht="15">
      <c r="C3" s="65"/>
      <c r="D3" s="65"/>
      <c r="E3" s="65"/>
      <c r="F3" s="65"/>
      <c r="G3" s="65"/>
      <c r="H3" s="65"/>
      <c r="I3" s="65"/>
      <c r="J3" s="65"/>
      <c r="K3" s="65"/>
      <c r="L3" s="65"/>
      <c r="M3" s="65"/>
      <c r="N3" s="65"/>
      <c r="O3" s="65"/>
      <c r="P3" s="65"/>
      <c r="Q3" s="65"/>
      <c r="R3" s="65"/>
      <c r="S3" s="65"/>
      <c r="T3" s="65"/>
      <c r="U3" s="65"/>
      <c r="V3" s="65"/>
      <c r="W3" s="65"/>
      <c r="X3" s="65"/>
      <c r="Y3" s="65"/>
      <c r="Z3" s="65"/>
      <c r="AA3" s="65"/>
      <c r="AB3" s="65"/>
    </row>
    <row r="4" spans="1:42">
      <c r="A4" s="71"/>
      <c r="B4" s="71"/>
      <c r="C4" s="1910" t="s">
        <v>364</v>
      </c>
      <c r="D4" s="1910"/>
      <c r="E4" s="1910"/>
      <c r="F4" s="1910"/>
      <c r="G4" s="1910"/>
      <c r="H4" s="1910"/>
      <c r="I4" s="1910"/>
      <c r="J4" s="1910"/>
      <c r="K4" s="1910"/>
      <c r="L4" s="1910"/>
      <c r="M4" s="1910"/>
      <c r="N4" s="1910"/>
      <c r="O4" s="1910"/>
      <c r="P4" s="1910"/>
      <c r="Q4" s="1910"/>
      <c r="R4" s="1910"/>
      <c r="S4" s="1910"/>
      <c r="T4" s="1910"/>
      <c r="U4" s="1910"/>
      <c r="V4" s="1910"/>
      <c r="W4" s="1910"/>
      <c r="X4" s="1910"/>
      <c r="Y4" s="1910"/>
      <c r="Z4" s="1910"/>
      <c r="AA4" s="1910"/>
      <c r="AB4" s="1910"/>
      <c r="AC4" s="86"/>
      <c r="AD4" s="86"/>
      <c r="AE4" s="115"/>
      <c r="AF4" s="115"/>
      <c r="AG4" s="115"/>
      <c r="AH4" s="115"/>
      <c r="AI4" s="115"/>
      <c r="AJ4" s="115"/>
      <c r="AK4" s="115"/>
      <c r="AL4" s="115"/>
      <c r="AM4" s="115"/>
      <c r="AN4" s="115"/>
      <c r="AO4" s="115"/>
      <c r="AP4" s="115"/>
    </row>
    <row r="5" spans="1:42">
      <c r="A5" s="71"/>
      <c r="B5" s="71"/>
      <c r="C5" s="72" t="s">
        <v>284</v>
      </c>
      <c r="D5" s="72" t="s">
        <v>285</v>
      </c>
      <c r="E5" s="72" t="s">
        <v>286</v>
      </c>
      <c r="F5" s="72" t="s">
        <v>287</v>
      </c>
      <c r="G5" s="72" t="s">
        <v>288</v>
      </c>
      <c r="H5" s="72" t="s">
        <v>289</v>
      </c>
      <c r="I5" s="72" t="s">
        <v>290</v>
      </c>
      <c r="J5" s="72" t="s">
        <v>291</v>
      </c>
      <c r="K5" s="72" t="s">
        <v>292</v>
      </c>
      <c r="L5" s="72" t="s">
        <v>293</v>
      </c>
      <c r="M5" s="72" t="s">
        <v>294</v>
      </c>
      <c r="N5" s="72" t="s">
        <v>295</v>
      </c>
      <c r="O5" s="72" t="s">
        <v>296</v>
      </c>
      <c r="P5" s="72" t="s">
        <v>297</v>
      </c>
      <c r="Q5" s="72" t="s">
        <v>298</v>
      </c>
      <c r="R5" s="72" t="s">
        <v>299</v>
      </c>
      <c r="S5" s="72" t="s">
        <v>300</v>
      </c>
      <c r="T5" s="72" t="s">
        <v>301</v>
      </c>
      <c r="U5" s="72" t="s">
        <v>302</v>
      </c>
      <c r="V5" s="72" t="s">
        <v>303</v>
      </c>
      <c r="W5" s="72" t="s">
        <v>304</v>
      </c>
      <c r="X5" s="72" t="s">
        <v>305</v>
      </c>
      <c r="Y5" s="72" t="s">
        <v>306</v>
      </c>
      <c r="Z5" s="72" t="s">
        <v>307</v>
      </c>
      <c r="AA5" s="72" t="s">
        <v>308</v>
      </c>
      <c r="AB5" s="72" t="s">
        <v>309</v>
      </c>
      <c r="AC5" s="72" t="s">
        <v>351</v>
      </c>
      <c r="AD5" s="72" t="s">
        <v>352</v>
      </c>
      <c r="AE5" s="72" t="s">
        <v>340</v>
      </c>
      <c r="AF5" s="72" t="s">
        <v>341</v>
      </c>
      <c r="AG5" s="72" t="s">
        <v>342</v>
      </c>
      <c r="AH5" s="72" t="s">
        <v>343</v>
      </c>
      <c r="AI5" s="72" t="s">
        <v>344</v>
      </c>
      <c r="AJ5" s="72" t="s">
        <v>345</v>
      </c>
      <c r="AK5" s="72" t="s">
        <v>346</v>
      </c>
      <c r="AL5" s="72" t="s">
        <v>347</v>
      </c>
      <c r="AM5" s="72" t="s">
        <v>348</v>
      </c>
      <c r="AN5" s="72" t="s">
        <v>349</v>
      </c>
      <c r="AO5" s="72" t="s">
        <v>350</v>
      </c>
      <c r="AP5" s="72" t="s">
        <v>353</v>
      </c>
    </row>
    <row r="6" spans="1:42">
      <c r="A6" s="72" t="s">
        <v>315</v>
      </c>
      <c r="B6" s="1917" t="s">
        <v>339</v>
      </c>
      <c r="C6" s="79"/>
      <c r="D6" s="79"/>
      <c r="E6" s="79"/>
      <c r="F6" s="79"/>
      <c r="G6" s="79"/>
      <c r="H6" s="79"/>
      <c r="I6" s="79"/>
      <c r="J6" s="79"/>
      <c r="K6" s="79"/>
      <c r="L6" s="79"/>
      <c r="M6" s="79"/>
      <c r="N6" s="79"/>
      <c r="O6" s="79"/>
      <c r="P6" s="79"/>
      <c r="Q6" s="79"/>
      <c r="R6" s="79"/>
      <c r="S6" s="79"/>
      <c r="T6" s="79"/>
      <c r="U6" s="79"/>
      <c r="V6" s="79"/>
      <c r="W6" s="79"/>
      <c r="X6" s="79"/>
      <c r="Y6" s="79"/>
      <c r="Z6" s="79"/>
      <c r="AA6" s="79"/>
      <c r="AB6" s="79"/>
      <c r="AC6" s="73" t="e">
        <f t="shared" ref="AC6:AC13" si="0">AVERAGE(S6:AB6)</f>
        <v>#DIV/0!</v>
      </c>
      <c r="AD6" s="73" t="e">
        <f t="shared" ref="AD6:AD14" si="1">AVERAGE(W6:Y6)</f>
        <v>#DIV/0!</v>
      </c>
      <c r="AE6" s="79"/>
      <c r="AF6" s="79"/>
      <c r="AG6" s="79"/>
      <c r="AH6" s="79"/>
      <c r="AI6" s="79"/>
      <c r="AJ6" s="79"/>
      <c r="AK6" s="79"/>
      <c r="AL6" s="79"/>
      <c r="AM6" s="79"/>
      <c r="AN6" s="79"/>
      <c r="AO6" s="79"/>
      <c r="AP6" s="79"/>
    </row>
    <row r="7" spans="1:42">
      <c r="A7" s="72" t="s">
        <v>310</v>
      </c>
      <c r="B7" s="1918"/>
      <c r="C7" s="79"/>
      <c r="D7" s="79"/>
      <c r="E7" s="79"/>
      <c r="F7" s="79"/>
      <c r="G7" s="79"/>
      <c r="H7" s="79"/>
      <c r="I7" s="79"/>
      <c r="J7" s="79"/>
      <c r="K7" s="79"/>
      <c r="L7" s="79"/>
      <c r="M7" s="79"/>
      <c r="N7" s="79"/>
      <c r="O7" s="79"/>
      <c r="P7" s="79"/>
      <c r="Q7" s="79"/>
      <c r="R7" s="79"/>
      <c r="S7" s="79"/>
      <c r="T7" s="79"/>
      <c r="U7" s="79"/>
      <c r="V7" s="120">
        <v>578190</v>
      </c>
      <c r="W7" s="120">
        <v>578190</v>
      </c>
      <c r="X7" s="119">
        <v>578190</v>
      </c>
      <c r="Y7" s="120">
        <v>588737</v>
      </c>
      <c r="Z7" s="120">
        <v>599284</v>
      </c>
      <c r="AA7" s="120">
        <v>609831</v>
      </c>
      <c r="AB7" s="120">
        <v>620378</v>
      </c>
      <c r="AC7" s="73">
        <f t="shared" si="0"/>
        <v>593257.14285714284</v>
      </c>
      <c r="AD7" s="73">
        <f t="shared" si="1"/>
        <v>581705.66666666663</v>
      </c>
      <c r="AE7" s="119">
        <v>630925</v>
      </c>
      <c r="AF7" s="79"/>
      <c r="AG7" s="79"/>
      <c r="AH7" s="79"/>
      <c r="AI7" s="79"/>
      <c r="AJ7" s="79"/>
      <c r="AK7" s="79"/>
      <c r="AL7" s="79"/>
      <c r="AM7" s="79"/>
      <c r="AN7" s="79"/>
      <c r="AO7" s="79"/>
      <c r="AP7" s="79"/>
    </row>
    <row r="8" spans="1:42">
      <c r="A8" s="72" t="s">
        <v>317</v>
      </c>
      <c r="B8" s="1918"/>
      <c r="C8" s="79"/>
      <c r="D8" s="79"/>
      <c r="E8" s="79"/>
      <c r="F8" s="79"/>
      <c r="G8" s="79"/>
      <c r="H8" s="79"/>
      <c r="I8" s="79"/>
      <c r="J8" s="79"/>
      <c r="K8" s="79"/>
      <c r="L8" s="79"/>
      <c r="M8" s="79"/>
      <c r="N8" s="79"/>
      <c r="O8" s="79"/>
      <c r="P8" s="79"/>
      <c r="Q8" s="79"/>
      <c r="R8" s="79"/>
      <c r="S8" s="79"/>
      <c r="T8" s="79"/>
      <c r="U8" s="79"/>
      <c r="V8" s="79"/>
      <c r="W8" s="79"/>
      <c r="X8" s="79"/>
      <c r="Y8" s="79"/>
      <c r="Z8" s="79"/>
      <c r="AA8" s="79"/>
      <c r="AB8" s="79"/>
      <c r="AC8" s="73" t="e">
        <f t="shared" si="0"/>
        <v>#DIV/0!</v>
      </c>
      <c r="AD8" s="73" t="e">
        <f t="shared" si="1"/>
        <v>#DIV/0!</v>
      </c>
      <c r="AE8" s="79"/>
      <c r="AF8" s="79"/>
      <c r="AG8" s="79"/>
      <c r="AH8" s="79"/>
      <c r="AI8" s="79"/>
      <c r="AJ8" s="79"/>
      <c r="AK8" s="79"/>
      <c r="AL8" s="79"/>
      <c r="AM8" s="79"/>
      <c r="AN8" s="79"/>
      <c r="AO8" s="79"/>
      <c r="AP8" s="79"/>
    </row>
    <row r="9" spans="1:42">
      <c r="A9" s="72" t="s">
        <v>313</v>
      </c>
      <c r="B9" s="1918"/>
      <c r="C9" s="79"/>
      <c r="D9" s="79"/>
      <c r="E9" s="79"/>
      <c r="F9" s="79"/>
      <c r="G9" s="79"/>
      <c r="H9" s="79"/>
      <c r="I9" s="79"/>
      <c r="J9" s="79"/>
      <c r="K9" s="79"/>
      <c r="L9" s="79"/>
      <c r="M9" s="79"/>
      <c r="N9" s="79"/>
      <c r="O9" s="79"/>
      <c r="P9" s="79"/>
      <c r="Q9" s="79"/>
      <c r="R9" s="79"/>
      <c r="S9" s="79"/>
      <c r="T9" s="79"/>
      <c r="U9" s="79"/>
      <c r="V9" s="79"/>
      <c r="W9" s="119">
        <v>916691</v>
      </c>
      <c r="X9" s="119">
        <v>927465</v>
      </c>
      <c r="Y9" s="119">
        <v>907194</v>
      </c>
      <c r="Z9" s="119">
        <v>874496</v>
      </c>
      <c r="AA9" s="119">
        <v>864185</v>
      </c>
      <c r="AB9" s="119">
        <v>890122</v>
      </c>
      <c r="AC9" s="73">
        <f t="shared" si="0"/>
        <v>896692.16666666663</v>
      </c>
      <c r="AD9" s="73">
        <f t="shared" si="1"/>
        <v>917116.66666666663</v>
      </c>
      <c r="AE9" s="119">
        <v>883963</v>
      </c>
      <c r="AF9" s="79"/>
      <c r="AG9" s="79"/>
      <c r="AH9" s="79"/>
      <c r="AI9" s="79"/>
      <c r="AJ9" s="79"/>
      <c r="AK9" s="79"/>
      <c r="AL9" s="79"/>
      <c r="AM9" s="79"/>
      <c r="AN9" s="79"/>
      <c r="AO9" s="79"/>
      <c r="AP9" s="79"/>
    </row>
    <row r="10" spans="1:42">
      <c r="A10" s="72" t="s">
        <v>316</v>
      </c>
      <c r="B10" s="1918"/>
      <c r="C10" s="79"/>
      <c r="D10" s="79"/>
      <c r="E10" s="79"/>
      <c r="F10" s="79"/>
      <c r="G10" s="79"/>
      <c r="H10" s="79"/>
      <c r="I10" s="79"/>
      <c r="J10" s="79"/>
      <c r="K10" s="79"/>
      <c r="L10" s="79"/>
      <c r="M10" s="79"/>
      <c r="N10" s="79"/>
      <c r="O10" s="79"/>
      <c r="P10" s="79"/>
      <c r="Q10" s="79"/>
      <c r="R10" s="79"/>
      <c r="S10" s="79"/>
      <c r="T10" s="79"/>
      <c r="U10" s="79"/>
      <c r="V10" s="79"/>
      <c r="W10" s="79"/>
      <c r="X10" s="79"/>
      <c r="Y10" s="79"/>
      <c r="Z10" s="79"/>
      <c r="AA10" s="79"/>
      <c r="AB10" s="79"/>
      <c r="AC10" s="73" t="e">
        <f t="shared" si="0"/>
        <v>#DIV/0!</v>
      </c>
      <c r="AD10" s="73" t="e">
        <f t="shared" si="1"/>
        <v>#DIV/0!</v>
      </c>
      <c r="AE10" s="79"/>
      <c r="AF10" s="79"/>
      <c r="AG10" s="79"/>
      <c r="AH10" s="79"/>
      <c r="AI10" s="79"/>
      <c r="AJ10" s="79"/>
      <c r="AK10" s="79"/>
      <c r="AL10" s="79"/>
      <c r="AM10" s="79"/>
      <c r="AN10" s="79"/>
      <c r="AO10" s="79"/>
      <c r="AP10" s="79"/>
    </row>
    <row r="11" spans="1:42">
      <c r="A11" s="72" t="s">
        <v>312</v>
      </c>
      <c r="B11" s="1918"/>
      <c r="C11" s="79"/>
      <c r="D11" s="79"/>
      <c r="E11" s="79"/>
      <c r="F11" s="79"/>
      <c r="G11" s="79"/>
      <c r="H11" s="79"/>
      <c r="I11" s="79"/>
      <c r="J11" s="79"/>
      <c r="K11" s="79"/>
      <c r="L11" s="79"/>
      <c r="M11" s="79"/>
      <c r="N11" s="79"/>
      <c r="O11" s="79"/>
      <c r="P11" s="79"/>
      <c r="Q11" s="79"/>
      <c r="R11" s="79"/>
      <c r="S11" s="79"/>
      <c r="T11" s="79"/>
      <c r="U11" s="79"/>
      <c r="V11" s="79"/>
      <c r="W11" s="119">
        <v>1185921</v>
      </c>
      <c r="X11" s="119">
        <v>1199801</v>
      </c>
      <c r="Y11" s="119">
        <v>1203814</v>
      </c>
      <c r="Z11" s="119">
        <v>1090233</v>
      </c>
      <c r="AA11" s="119">
        <v>1150860</v>
      </c>
      <c r="AB11" s="119">
        <v>1168262</v>
      </c>
      <c r="AC11" s="73">
        <f t="shared" si="0"/>
        <v>1166481.8333333333</v>
      </c>
      <c r="AD11" s="73">
        <f t="shared" si="1"/>
        <v>1196512</v>
      </c>
      <c r="AE11" s="79"/>
      <c r="AF11" s="79"/>
      <c r="AG11" s="79"/>
      <c r="AH11" s="79"/>
      <c r="AI11" s="79"/>
      <c r="AJ11" s="79"/>
      <c r="AK11" s="79"/>
      <c r="AL11" s="79"/>
      <c r="AM11" s="79"/>
      <c r="AN11" s="79"/>
      <c r="AO11" s="79"/>
      <c r="AP11" s="79"/>
    </row>
    <row r="12" spans="1:42">
      <c r="A12" s="72" t="s">
        <v>311</v>
      </c>
      <c r="B12" s="1918"/>
      <c r="C12" s="79"/>
      <c r="D12" s="79"/>
      <c r="E12" s="79"/>
      <c r="F12" s="79"/>
      <c r="G12" s="79"/>
      <c r="H12" s="79"/>
      <c r="I12" s="79"/>
      <c r="J12" s="79"/>
      <c r="K12" s="79"/>
      <c r="L12" s="79"/>
      <c r="M12" s="79"/>
      <c r="N12" s="79"/>
      <c r="O12" s="79"/>
      <c r="P12" s="79"/>
      <c r="Q12" s="79"/>
      <c r="R12" s="79"/>
      <c r="S12" s="79"/>
      <c r="T12" s="79"/>
      <c r="U12" s="79"/>
      <c r="V12" s="79"/>
      <c r="W12" s="79"/>
      <c r="X12" s="119">
        <v>735780</v>
      </c>
      <c r="Y12" s="119">
        <v>729519</v>
      </c>
      <c r="Z12" s="119">
        <v>644342</v>
      </c>
      <c r="AA12" s="119">
        <v>662889</v>
      </c>
      <c r="AB12" s="119">
        <v>706304</v>
      </c>
      <c r="AC12" s="73">
        <f t="shared" si="0"/>
        <v>695766.8</v>
      </c>
      <c r="AD12" s="73">
        <f t="shared" si="1"/>
        <v>732649.5</v>
      </c>
      <c r="AE12" s="119">
        <v>695113</v>
      </c>
      <c r="AF12" s="79"/>
      <c r="AG12" s="79"/>
      <c r="AH12" s="79"/>
      <c r="AI12" s="79"/>
      <c r="AJ12" s="79"/>
      <c r="AK12" s="79"/>
      <c r="AL12" s="79"/>
      <c r="AM12" s="79"/>
      <c r="AN12" s="79"/>
      <c r="AO12" s="79"/>
      <c r="AP12" s="79"/>
    </row>
    <row r="13" spans="1:42">
      <c r="A13" s="72" t="s">
        <v>314</v>
      </c>
      <c r="B13" s="1919"/>
      <c r="C13" s="79"/>
      <c r="D13" s="79"/>
      <c r="E13" s="79"/>
      <c r="F13" s="79"/>
      <c r="G13" s="79"/>
      <c r="H13" s="79"/>
      <c r="I13" s="79"/>
      <c r="J13" s="79"/>
      <c r="K13" s="79"/>
      <c r="L13" s="79"/>
      <c r="M13" s="79"/>
      <c r="N13" s="79"/>
      <c r="O13" s="79"/>
      <c r="P13" s="79"/>
      <c r="Q13" s="79"/>
      <c r="R13" s="79"/>
      <c r="S13" s="79"/>
      <c r="T13" s="79"/>
      <c r="U13" s="79"/>
      <c r="V13" s="79"/>
      <c r="W13" s="79"/>
      <c r="X13" s="79"/>
      <c r="Y13" s="119">
        <v>717262</v>
      </c>
      <c r="Z13" s="119">
        <v>666347</v>
      </c>
      <c r="AA13" s="119">
        <v>663138</v>
      </c>
      <c r="AB13" s="119">
        <v>697844</v>
      </c>
      <c r="AC13" s="73">
        <f t="shared" si="0"/>
        <v>686147.75</v>
      </c>
      <c r="AD13" s="73">
        <f t="shared" si="1"/>
        <v>717262</v>
      </c>
      <c r="AE13" s="119">
        <v>739650</v>
      </c>
      <c r="AF13" s="79"/>
      <c r="AG13" s="79"/>
      <c r="AH13" s="79"/>
      <c r="AI13" s="79"/>
      <c r="AJ13" s="79"/>
      <c r="AK13" s="79"/>
      <c r="AL13" s="79"/>
      <c r="AM13" s="79"/>
      <c r="AN13" s="79"/>
      <c r="AO13" s="79"/>
      <c r="AP13" s="79"/>
    </row>
    <row r="14" spans="1:42" s="112" customFormat="1">
      <c r="A14" s="74" t="s">
        <v>203</v>
      </c>
      <c r="B14" s="74"/>
      <c r="C14" s="80">
        <f t="shared" ref="C14:AC14" si="2">SUM(C6:C13)</f>
        <v>0</v>
      </c>
      <c r="D14" s="80">
        <f t="shared" si="2"/>
        <v>0</v>
      </c>
      <c r="E14" s="80">
        <f t="shared" si="2"/>
        <v>0</v>
      </c>
      <c r="F14" s="80">
        <f t="shared" si="2"/>
        <v>0</v>
      </c>
      <c r="G14" s="80">
        <f t="shared" si="2"/>
        <v>0</v>
      </c>
      <c r="H14" s="80">
        <f t="shared" si="2"/>
        <v>0</v>
      </c>
      <c r="I14" s="80">
        <f t="shared" si="2"/>
        <v>0</v>
      </c>
      <c r="J14" s="80">
        <f t="shared" si="2"/>
        <v>0</v>
      </c>
      <c r="K14" s="80">
        <f t="shared" si="2"/>
        <v>0</v>
      </c>
      <c r="L14" s="80">
        <f t="shared" si="2"/>
        <v>0</v>
      </c>
      <c r="M14" s="80">
        <f t="shared" si="2"/>
        <v>0</v>
      </c>
      <c r="N14" s="80">
        <f t="shared" si="2"/>
        <v>0</v>
      </c>
      <c r="O14" s="80">
        <f t="shared" si="2"/>
        <v>0</v>
      </c>
      <c r="P14" s="80">
        <f t="shared" si="2"/>
        <v>0</v>
      </c>
      <c r="Q14" s="80">
        <f t="shared" si="2"/>
        <v>0</v>
      </c>
      <c r="R14" s="80">
        <f t="shared" si="2"/>
        <v>0</v>
      </c>
      <c r="S14" s="80">
        <f t="shared" si="2"/>
        <v>0</v>
      </c>
      <c r="T14" s="80">
        <f t="shared" si="2"/>
        <v>0</v>
      </c>
      <c r="U14" s="80">
        <f t="shared" si="2"/>
        <v>0</v>
      </c>
      <c r="V14" s="80">
        <f t="shared" si="2"/>
        <v>578190</v>
      </c>
      <c r="W14" s="80">
        <f t="shared" si="2"/>
        <v>2680802</v>
      </c>
      <c r="X14" s="80">
        <f t="shared" si="2"/>
        <v>3441236</v>
      </c>
      <c r="Y14" s="80">
        <f t="shared" si="2"/>
        <v>4146526</v>
      </c>
      <c r="Z14" s="80">
        <f t="shared" si="2"/>
        <v>3874702</v>
      </c>
      <c r="AA14" s="80">
        <f t="shared" si="2"/>
        <v>3950903</v>
      </c>
      <c r="AB14" s="80">
        <f t="shared" si="2"/>
        <v>4082910</v>
      </c>
      <c r="AC14" s="75" t="e">
        <f t="shared" si="2"/>
        <v>#DIV/0!</v>
      </c>
      <c r="AD14" s="101">
        <f t="shared" si="1"/>
        <v>3422854.6666666665</v>
      </c>
      <c r="AE14" s="79"/>
      <c r="AF14" s="79"/>
      <c r="AG14" s="79"/>
      <c r="AH14" s="79"/>
      <c r="AI14" s="79"/>
      <c r="AJ14" s="79"/>
      <c r="AK14" s="79"/>
      <c r="AL14" s="79"/>
      <c r="AM14" s="79"/>
      <c r="AN14" s="79"/>
      <c r="AO14" s="79"/>
      <c r="AP14" s="79"/>
    </row>
    <row r="16" spans="1:42">
      <c r="A16" s="71"/>
      <c r="B16" s="71"/>
      <c r="C16" s="1910" t="s">
        <v>365</v>
      </c>
      <c r="D16" s="1910"/>
      <c r="E16" s="1910"/>
      <c r="F16" s="1910"/>
      <c r="G16" s="1910"/>
      <c r="H16" s="1910"/>
      <c r="I16" s="1910"/>
      <c r="J16" s="1910"/>
      <c r="K16" s="1910"/>
      <c r="L16" s="1910"/>
      <c r="M16" s="1910"/>
      <c r="N16" s="1910"/>
      <c r="O16" s="1910"/>
      <c r="P16" s="1910"/>
      <c r="Q16" s="1910"/>
      <c r="R16" s="1910"/>
      <c r="S16" s="1910"/>
      <c r="T16" s="1910"/>
      <c r="U16" s="1910"/>
      <c r="V16" s="1910"/>
      <c r="W16" s="1910"/>
      <c r="X16" s="1910"/>
      <c r="Y16" s="1910"/>
      <c r="Z16" s="1910"/>
      <c r="AA16" s="1910"/>
      <c r="AB16" s="1910"/>
      <c r="AC16" s="86"/>
      <c r="AD16" s="86"/>
      <c r="AE16" s="115"/>
      <c r="AF16" s="115"/>
      <c r="AG16" s="115"/>
      <c r="AH16" s="115"/>
      <c r="AI16" s="115"/>
      <c r="AJ16" s="115"/>
      <c r="AK16" s="115"/>
      <c r="AL16" s="115"/>
      <c r="AM16" s="115"/>
      <c r="AN16" s="115"/>
      <c r="AO16" s="115"/>
      <c r="AP16" s="115"/>
    </row>
    <row r="17" spans="1:42">
      <c r="A17" s="71"/>
      <c r="B17" s="71"/>
      <c r="C17" s="72" t="s">
        <v>284</v>
      </c>
      <c r="D17" s="72" t="s">
        <v>285</v>
      </c>
      <c r="E17" s="72" t="s">
        <v>286</v>
      </c>
      <c r="F17" s="72" t="s">
        <v>287</v>
      </c>
      <c r="G17" s="72" t="s">
        <v>288</v>
      </c>
      <c r="H17" s="72" t="s">
        <v>289</v>
      </c>
      <c r="I17" s="72" t="s">
        <v>290</v>
      </c>
      <c r="J17" s="72" t="s">
        <v>291</v>
      </c>
      <c r="K17" s="72" t="s">
        <v>292</v>
      </c>
      <c r="L17" s="72" t="s">
        <v>293</v>
      </c>
      <c r="M17" s="72" t="s">
        <v>294</v>
      </c>
      <c r="N17" s="72" t="s">
        <v>295</v>
      </c>
      <c r="O17" s="72" t="s">
        <v>296</v>
      </c>
      <c r="P17" s="72" t="s">
        <v>297</v>
      </c>
      <c r="Q17" s="72" t="s">
        <v>298</v>
      </c>
      <c r="R17" s="72" t="s">
        <v>299</v>
      </c>
      <c r="S17" s="72" t="s">
        <v>300</v>
      </c>
      <c r="T17" s="72" t="s">
        <v>301</v>
      </c>
      <c r="U17" s="72" t="s">
        <v>302</v>
      </c>
      <c r="V17" s="72" t="s">
        <v>303</v>
      </c>
      <c r="W17" s="72" t="s">
        <v>304</v>
      </c>
      <c r="X17" s="72" t="s">
        <v>305</v>
      </c>
      <c r="Y17" s="72" t="s">
        <v>306</v>
      </c>
      <c r="Z17" s="72" t="s">
        <v>307</v>
      </c>
      <c r="AA17" s="72" t="s">
        <v>308</v>
      </c>
      <c r="AB17" s="72" t="s">
        <v>309</v>
      </c>
      <c r="AC17" s="72" t="s">
        <v>351</v>
      </c>
      <c r="AD17" s="72" t="s">
        <v>352</v>
      </c>
      <c r="AE17" s="72" t="s">
        <v>340</v>
      </c>
      <c r="AF17" s="72" t="s">
        <v>341</v>
      </c>
      <c r="AG17" s="72" t="s">
        <v>342</v>
      </c>
      <c r="AH17" s="72" t="s">
        <v>343</v>
      </c>
      <c r="AI17" s="72" t="s">
        <v>344</v>
      </c>
      <c r="AJ17" s="72" t="s">
        <v>345</v>
      </c>
      <c r="AK17" s="72" t="s">
        <v>346</v>
      </c>
      <c r="AL17" s="72" t="s">
        <v>347</v>
      </c>
      <c r="AM17" s="72" t="s">
        <v>348</v>
      </c>
      <c r="AN17" s="72" t="s">
        <v>349</v>
      </c>
      <c r="AO17" s="72" t="s">
        <v>350</v>
      </c>
      <c r="AP17" s="72" t="s">
        <v>353</v>
      </c>
    </row>
    <row r="18" spans="1:42">
      <c r="A18" s="72" t="s">
        <v>315</v>
      </c>
      <c r="B18" s="1917" t="s">
        <v>339</v>
      </c>
      <c r="C18" s="76"/>
      <c r="D18" s="76">
        <f t="shared" ref="D18:V18" si="3">D6-C6</f>
        <v>0</v>
      </c>
      <c r="E18" s="76">
        <f t="shared" si="3"/>
        <v>0</v>
      </c>
      <c r="F18" s="76">
        <f t="shared" si="3"/>
        <v>0</v>
      </c>
      <c r="G18" s="76">
        <f t="shared" si="3"/>
        <v>0</v>
      </c>
      <c r="H18" s="76">
        <f t="shared" si="3"/>
        <v>0</v>
      </c>
      <c r="I18" s="76">
        <f t="shared" si="3"/>
        <v>0</v>
      </c>
      <c r="J18" s="76">
        <f t="shared" si="3"/>
        <v>0</v>
      </c>
      <c r="K18" s="76">
        <f t="shared" si="3"/>
        <v>0</v>
      </c>
      <c r="L18" s="76">
        <f t="shared" si="3"/>
        <v>0</v>
      </c>
      <c r="M18" s="76">
        <f t="shared" si="3"/>
        <v>0</v>
      </c>
      <c r="N18" s="76">
        <f t="shared" si="3"/>
        <v>0</v>
      </c>
      <c r="O18" s="76">
        <f t="shared" si="3"/>
        <v>0</v>
      </c>
      <c r="P18" s="76">
        <f t="shared" si="3"/>
        <v>0</v>
      </c>
      <c r="Q18" s="76">
        <f t="shared" si="3"/>
        <v>0</v>
      </c>
      <c r="R18" s="76">
        <f t="shared" si="3"/>
        <v>0</v>
      </c>
      <c r="S18" s="76">
        <f t="shared" si="3"/>
        <v>0</v>
      </c>
      <c r="T18" s="76">
        <f t="shared" si="3"/>
        <v>0</v>
      </c>
      <c r="U18" s="76">
        <f t="shared" si="3"/>
        <v>0</v>
      </c>
      <c r="V18" s="76">
        <f t="shared" si="3"/>
        <v>0</v>
      </c>
      <c r="W18" s="76"/>
      <c r="X18" s="76">
        <f t="shared" ref="X18:AB25" si="4">X6-W6</f>
        <v>0</v>
      </c>
      <c r="Y18" s="76">
        <f t="shared" si="4"/>
        <v>0</v>
      </c>
      <c r="Z18" s="76">
        <f t="shared" si="4"/>
        <v>0</v>
      </c>
      <c r="AA18" s="76">
        <f t="shared" si="4"/>
        <v>0</v>
      </c>
      <c r="AB18" s="76">
        <f t="shared" si="4"/>
        <v>0</v>
      </c>
      <c r="AC18" s="73">
        <f t="shared" ref="AC18:AC25" si="5">AVERAGE(S18:AB18)</f>
        <v>0</v>
      </c>
      <c r="AD18" s="73">
        <f t="shared" ref="AD18:AD26" si="6">AVERAGE(W18:Y18)</f>
        <v>0</v>
      </c>
      <c r="AE18" s="79"/>
      <c r="AF18" s="79"/>
      <c r="AG18" s="79"/>
      <c r="AH18" s="79"/>
      <c r="AI18" s="79"/>
      <c r="AJ18" s="79"/>
      <c r="AK18" s="79"/>
      <c r="AL18" s="79"/>
      <c r="AM18" s="79"/>
      <c r="AN18" s="79"/>
      <c r="AO18" s="79"/>
      <c r="AP18" s="79"/>
    </row>
    <row r="19" spans="1:42">
      <c r="A19" s="72" t="s">
        <v>310</v>
      </c>
      <c r="B19" s="1918"/>
      <c r="C19" s="76"/>
      <c r="D19" s="76">
        <f t="shared" ref="D19:V19" si="7">D7-C7</f>
        <v>0</v>
      </c>
      <c r="E19" s="76">
        <f t="shared" si="7"/>
        <v>0</v>
      </c>
      <c r="F19" s="76">
        <f t="shared" si="7"/>
        <v>0</v>
      </c>
      <c r="G19" s="76">
        <f t="shared" si="7"/>
        <v>0</v>
      </c>
      <c r="H19" s="76">
        <f t="shared" si="7"/>
        <v>0</v>
      </c>
      <c r="I19" s="76">
        <f t="shared" si="7"/>
        <v>0</v>
      </c>
      <c r="J19" s="76">
        <f t="shared" si="7"/>
        <v>0</v>
      </c>
      <c r="K19" s="76">
        <f t="shared" si="7"/>
        <v>0</v>
      </c>
      <c r="L19" s="76">
        <f t="shared" si="7"/>
        <v>0</v>
      </c>
      <c r="M19" s="76">
        <f t="shared" si="7"/>
        <v>0</v>
      </c>
      <c r="N19" s="76">
        <f t="shared" si="7"/>
        <v>0</v>
      </c>
      <c r="O19" s="76">
        <f t="shared" si="7"/>
        <v>0</v>
      </c>
      <c r="P19" s="76">
        <f t="shared" si="7"/>
        <v>0</v>
      </c>
      <c r="Q19" s="76">
        <f t="shared" si="7"/>
        <v>0</v>
      </c>
      <c r="R19" s="76">
        <f t="shared" si="7"/>
        <v>0</v>
      </c>
      <c r="S19" s="76">
        <f t="shared" si="7"/>
        <v>0</v>
      </c>
      <c r="T19" s="76">
        <f t="shared" si="7"/>
        <v>0</v>
      </c>
      <c r="U19" s="76">
        <f t="shared" si="7"/>
        <v>0</v>
      </c>
      <c r="V19" s="76">
        <f t="shared" si="7"/>
        <v>578190</v>
      </c>
      <c r="W19" s="76"/>
      <c r="X19" s="76">
        <f t="shared" si="4"/>
        <v>0</v>
      </c>
      <c r="Y19" s="76">
        <f t="shared" si="4"/>
        <v>10547</v>
      </c>
      <c r="Z19" s="76">
        <f t="shared" si="4"/>
        <v>10547</v>
      </c>
      <c r="AA19" s="76">
        <f t="shared" si="4"/>
        <v>10547</v>
      </c>
      <c r="AB19" s="76">
        <f t="shared" si="4"/>
        <v>10547</v>
      </c>
      <c r="AC19" s="73">
        <f t="shared" si="5"/>
        <v>68930.888888888891</v>
      </c>
      <c r="AD19" s="73">
        <f t="shared" si="6"/>
        <v>5273.5</v>
      </c>
      <c r="AE19" s="79"/>
      <c r="AF19" s="79"/>
      <c r="AG19" s="79"/>
      <c r="AH19" s="79"/>
      <c r="AI19" s="79"/>
      <c r="AJ19" s="79"/>
      <c r="AK19" s="79"/>
      <c r="AL19" s="79"/>
      <c r="AM19" s="79"/>
      <c r="AN19" s="79"/>
      <c r="AO19" s="79"/>
      <c r="AP19" s="79"/>
    </row>
    <row r="20" spans="1:42">
      <c r="A20" s="72" t="s">
        <v>317</v>
      </c>
      <c r="B20" s="1918"/>
      <c r="C20" s="76"/>
      <c r="D20" s="76">
        <f t="shared" ref="D20:V20" si="8">D8-C8</f>
        <v>0</v>
      </c>
      <c r="E20" s="76">
        <f t="shared" si="8"/>
        <v>0</v>
      </c>
      <c r="F20" s="76">
        <f t="shared" si="8"/>
        <v>0</v>
      </c>
      <c r="G20" s="76">
        <f t="shared" si="8"/>
        <v>0</v>
      </c>
      <c r="H20" s="76">
        <f t="shared" si="8"/>
        <v>0</v>
      </c>
      <c r="I20" s="76">
        <f t="shared" si="8"/>
        <v>0</v>
      </c>
      <c r="J20" s="76">
        <f t="shared" si="8"/>
        <v>0</v>
      </c>
      <c r="K20" s="76">
        <f t="shared" si="8"/>
        <v>0</v>
      </c>
      <c r="L20" s="76">
        <f t="shared" si="8"/>
        <v>0</v>
      </c>
      <c r="M20" s="76">
        <f t="shared" si="8"/>
        <v>0</v>
      </c>
      <c r="N20" s="76">
        <f t="shared" si="8"/>
        <v>0</v>
      </c>
      <c r="O20" s="76">
        <f t="shared" si="8"/>
        <v>0</v>
      </c>
      <c r="P20" s="76">
        <f t="shared" si="8"/>
        <v>0</v>
      </c>
      <c r="Q20" s="76">
        <f t="shared" si="8"/>
        <v>0</v>
      </c>
      <c r="R20" s="76">
        <f t="shared" si="8"/>
        <v>0</v>
      </c>
      <c r="S20" s="76">
        <f t="shared" si="8"/>
        <v>0</v>
      </c>
      <c r="T20" s="76">
        <f t="shared" si="8"/>
        <v>0</v>
      </c>
      <c r="U20" s="76">
        <f t="shared" si="8"/>
        <v>0</v>
      </c>
      <c r="V20" s="76">
        <f t="shared" si="8"/>
        <v>0</v>
      </c>
      <c r="W20" s="76">
        <f>W8-V8</f>
        <v>0</v>
      </c>
      <c r="X20" s="76">
        <f t="shared" si="4"/>
        <v>0</v>
      </c>
      <c r="Y20" s="76">
        <f t="shared" si="4"/>
        <v>0</v>
      </c>
      <c r="Z20" s="76">
        <f t="shared" si="4"/>
        <v>0</v>
      </c>
      <c r="AA20" s="76">
        <f t="shared" si="4"/>
        <v>0</v>
      </c>
      <c r="AB20" s="76">
        <f t="shared" si="4"/>
        <v>0</v>
      </c>
      <c r="AC20" s="73">
        <f t="shared" si="5"/>
        <v>0</v>
      </c>
      <c r="AD20" s="73">
        <f t="shared" si="6"/>
        <v>0</v>
      </c>
      <c r="AE20" s="79"/>
      <c r="AF20" s="79"/>
      <c r="AG20" s="79"/>
      <c r="AH20" s="79"/>
      <c r="AI20" s="79"/>
      <c r="AJ20" s="79"/>
      <c r="AK20" s="79"/>
      <c r="AL20" s="79"/>
      <c r="AM20" s="79"/>
      <c r="AN20" s="79"/>
      <c r="AO20" s="79"/>
      <c r="AP20" s="79"/>
    </row>
    <row r="21" spans="1:42">
      <c r="A21" s="72" t="s">
        <v>313</v>
      </c>
      <c r="B21" s="1918"/>
      <c r="C21" s="76"/>
      <c r="D21" s="76">
        <f t="shared" ref="D21:V21" si="9">D9-C9</f>
        <v>0</v>
      </c>
      <c r="E21" s="76">
        <f t="shared" si="9"/>
        <v>0</v>
      </c>
      <c r="F21" s="76">
        <f t="shared" si="9"/>
        <v>0</v>
      </c>
      <c r="G21" s="76">
        <f t="shared" si="9"/>
        <v>0</v>
      </c>
      <c r="H21" s="76">
        <f t="shared" si="9"/>
        <v>0</v>
      </c>
      <c r="I21" s="76">
        <f t="shared" si="9"/>
        <v>0</v>
      </c>
      <c r="J21" s="76">
        <f t="shared" si="9"/>
        <v>0</v>
      </c>
      <c r="K21" s="76">
        <f t="shared" si="9"/>
        <v>0</v>
      </c>
      <c r="L21" s="76">
        <f t="shared" si="9"/>
        <v>0</v>
      </c>
      <c r="M21" s="76">
        <f t="shared" si="9"/>
        <v>0</v>
      </c>
      <c r="N21" s="76">
        <f t="shared" si="9"/>
        <v>0</v>
      </c>
      <c r="O21" s="76">
        <f t="shared" si="9"/>
        <v>0</v>
      </c>
      <c r="P21" s="76">
        <f t="shared" si="9"/>
        <v>0</v>
      </c>
      <c r="Q21" s="76">
        <f t="shared" si="9"/>
        <v>0</v>
      </c>
      <c r="R21" s="76">
        <f t="shared" si="9"/>
        <v>0</v>
      </c>
      <c r="S21" s="76">
        <f t="shared" si="9"/>
        <v>0</v>
      </c>
      <c r="T21" s="76">
        <f t="shared" si="9"/>
        <v>0</v>
      </c>
      <c r="U21" s="76">
        <f t="shared" si="9"/>
        <v>0</v>
      </c>
      <c r="V21" s="76">
        <f t="shared" si="9"/>
        <v>0</v>
      </c>
      <c r="W21" s="76">
        <f>W9-V9</f>
        <v>916691</v>
      </c>
      <c r="X21" s="76">
        <f t="shared" si="4"/>
        <v>10774</v>
      </c>
      <c r="Y21" s="76">
        <f t="shared" si="4"/>
        <v>-20271</v>
      </c>
      <c r="Z21" s="76">
        <f t="shared" si="4"/>
        <v>-32698</v>
      </c>
      <c r="AA21" s="76">
        <f t="shared" si="4"/>
        <v>-10311</v>
      </c>
      <c r="AB21" s="76">
        <f t="shared" si="4"/>
        <v>25937</v>
      </c>
      <c r="AC21" s="73">
        <f t="shared" si="5"/>
        <v>89012.2</v>
      </c>
      <c r="AD21" s="73">
        <f t="shared" si="6"/>
        <v>302398</v>
      </c>
      <c r="AE21" s="79"/>
      <c r="AF21" s="79"/>
      <c r="AG21" s="79"/>
      <c r="AH21" s="79"/>
      <c r="AI21" s="79"/>
      <c r="AJ21" s="79"/>
      <c r="AK21" s="79"/>
      <c r="AL21" s="79"/>
      <c r="AM21" s="79"/>
      <c r="AN21" s="79"/>
      <c r="AO21" s="79"/>
      <c r="AP21" s="79"/>
    </row>
    <row r="22" spans="1:42">
      <c r="A22" s="72" t="s">
        <v>316</v>
      </c>
      <c r="B22" s="1918"/>
      <c r="C22" s="76"/>
      <c r="D22" s="76">
        <f t="shared" ref="D22:V22" si="10">D10-C10</f>
        <v>0</v>
      </c>
      <c r="E22" s="76">
        <f t="shared" si="10"/>
        <v>0</v>
      </c>
      <c r="F22" s="76">
        <f t="shared" si="10"/>
        <v>0</v>
      </c>
      <c r="G22" s="76">
        <f t="shared" si="10"/>
        <v>0</v>
      </c>
      <c r="H22" s="76">
        <f t="shared" si="10"/>
        <v>0</v>
      </c>
      <c r="I22" s="76">
        <f t="shared" si="10"/>
        <v>0</v>
      </c>
      <c r="J22" s="76">
        <f t="shared" si="10"/>
        <v>0</v>
      </c>
      <c r="K22" s="76">
        <f t="shared" si="10"/>
        <v>0</v>
      </c>
      <c r="L22" s="76">
        <f t="shared" si="10"/>
        <v>0</v>
      </c>
      <c r="M22" s="76">
        <f t="shared" si="10"/>
        <v>0</v>
      </c>
      <c r="N22" s="76">
        <f t="shared" si="10"/>
        <v>0</v>
      </c>
      <c r="O22" s="76">
        <f t="shared" si="10"/>
        <v>0</v>
      </c>
      <c r="P22" s="76">
        <f t="shared" si="10"/>
        <v>0</v>
      </c>
      <c r="Q22" s="76">
        <f t="shared" si="10"/>
        <v>0</v>
      </c>
      <c r="R22" s="76">
        <f t="shared" si="10"/>
        <v>0</v>
      </c>
      <c r="S22" s="76">
        <f t="shared" si="10"/>
        <v>0</v>
      </c>
      <c r="T22" s="76">
        <f t="shared" si="10"/>
        <v>0</v>
      </c>
      <c r="U22" s="76">
        <f t="shared" si="10"/>
        <v>0</v>
      </c>
      <c r="V22" s="76">
        <f t="shared" si="10"/>
        <v>0</v>
      </c>
      <c r="W22" s="76">
        <f>W10-V10</f>
        <v>0</v>
      </c>
      <c r="X22" s="76">
        <f t="shared" si="4"/>
        <v>0</v>
      </c>
      <c r="Y22" s="76">
        <f t="shared" si="4"/>
        <v>0</v>
      </c>
      <c r="Z22" s="76">
        <f t="shared" si="4"/>
        <v>0</v>
      </c>
      <c r="AA22" s="76">
        <f t="shared" si="4"/>
        <v>0</v>
      </c>
      <c r="AB22" s="76">
        <f t="shared" si="4"/>
        <v>0</v>
      </c>
      <c r="AC22" s="73">
        <f t="shared" si="5"/>
        <v>0</v>
      </c>
      <c r="AD22" s="73">
        <f t="shared" si="6"/>
        <v>0</v>
      </c>
      <c r="AE22" s="79"/>
      <c r="AF22" s="79"/>
      <c r="AG22" s="79"/>
      <c r="AH22" s="79"/>
      <c r="AI22" s="79"/>
      <c r="AJ22" s="79"/>
      <c r="AK22" s="79"/>
      <c r="AL22" s="79"/>
      <c r="AM22" s="79"/>
      <c r="AN22" s="79"/>
      <c r="AO22" s="79"/>
      <c r="AP22" s="79"/>
    </row>
    <row r="23" spans="1:42">
      <c r="A23" s="72" t="s">
        <v>312</v>
      </c>
      <c r="B23" s="1918"/>
      <c r="C23" s="76"/>
      <c r="D23" s="76">
        <f t="shared" ref="D23:V23" si="11">D11-C11</f>
        <v>0</v>
      </c>
      <c r="E23" s="76">
        <f t="shared" si="11"/>
        <v>0</v>
      </c>
      <c r="F23" s="76">
        <f t="shared" si="11"/>
        <v>0</v>
      </c>
      <c r="G23" s="76">
        <f t="shared" si="11"/>
        <v>0</v>
      </c>
      <c r="H23" s="76">
        <f t="shared" si="11"/>
        <v>0</v>
      </c>
      <c r="I23" s="76">
        <f t="shared" si="11"/>
        <v>0</v>
      </c>
      <c r="J23" s="76">
        <f t="shared" si="11"/>
        <v>0</v>
      </c>
      <c r="K23" s="76">
        <f t="shared" si="11"/>
        <v>0</v>
      </c>
      <c r="L23" s="76">
        <f t="shared" si="11"/>
        <v>0</v>
      </c>
      <c r="M23" s="76">
        <f t="shared" si="11"/>
        <v>0</v>
      </c>
      <c r="N23" s="76">
        <f t="shared" si="11"/>
        <v>0</v>
      </c>
      <c r="O23" s="76">
        <f t="shared" si="11"/>
        <v>0</v>
      </c>
      <c r="P23" s="76">
        <f t="shared" si="11"/>
        <v>0</v>
      </c>
      <c r="Q23" s="76">
        <f t="shared" si="11"/>
        <v>0</v>
      </c>
      <c r="R23" s="76">
        <f t="shared" si="11"/>
        <v>0</v>
      </c>
      <c r="S23" s="76">
        <f t="shared" si="11"/>
        <v>0</v>
      </c>
      <c r="T23" s="76">
        <f t="shared" si="11"/>
        <v>0</v>
      </c>
      <c r="U23" s="76">
        <f t="shared" si="11"/>
        <v>0</v>
      </c>
      <c r="V23" s="76">
        <f t="shared" si="11"/>
        <v>0</v>
      </c>
      <c r="W23" s="76"/>
      <c r="X23" s="76">
        <f t="shared" si="4"/>
        <v>13880</v>
      </c>
      <c r="Y23" s="76">
        <f t="shared" si="4"/>
        <v>4013</v>
      </c>
      <c r="Z23" s="76">
        <f t="shared" si="4"/>
        <v>-113581</v>
      </c>
      <c r="AA23" s="76">
        <f t="shared" si="4"/>
        <v>60627</v>
      </c>
      <c r="AB23" s="76">
        <f t="shared" si="4"/>
        <v>17402</v>
      </c>
      <c r="AC23" s="73">
        <f t="shared" si="5"/>
        <v>-1962.1111111111111</v>
      </c>
      <c r="AD23" s="73">
        <f t="shared" si="6"/>
        <v>8946.5</v>
      </c>
      <c r="AE23" s="79"/>
      <c r="AF23" s="79"/>
      <c r="AG23" s="79"/>
      <c r="AH23" s="79"/>
      <c r="AI23" s="79"/>
      <c r="AJ23" s="79"/>
      <c r="AK23" s="79"/>
      <c r="AL23" s="79"/>
      <c r="AM23" s="79"/>
      <c r="AN23" s="79"/>
      <c r="AO23" s="79"/>
      <c r="AP23" s="79"/>
    </row>
    <row r="24" spans="1:42">
      <c r="A24" s="72" t="s">
        <v>311</v>
      </c>
      <c r="B24" s="1918"/>
      <c r="C24" s="76"/>
      <c r="D24" s="76">
        <f t="shared" ref="D24:V24" si="12">D12-C12</f>
        <v>0</v>
      </c>
      <c r="E24" s="76">
        <f t="shared" si="12"/>
        <v>0</v>
      </c>
      <c r="F24" s="76">
        <f t="shared" si="12"/>
        <v>0</v>
      </c>
      <c r="G24" s="76">
        <f t="shared" si="12"/>
        <v>0</v>
      </c>
      <c r="H24" s="76">
        <f t="shared" si="12"/>
        <v>0</v>
      </c>
      <c r="I24" s="76">
        <f t="shared" si="12"/>
        <v>0</v>
      </c>
      <c r="J24" s="76">
        <f t="shared" si="12"/>
        <v>0</v>
      </c>
      <c r="K24" s="76">
        <f t="shared" si="12"/>
        <v>0</v>
      </c>
      <c r="L24" s="76">
        <f t="shared" si="12"/>
        <v>0</v>
      </c>
      <c r="M24" s="76">
        <f t="shared" si="12"/>
        <v>0</v>
      </c>
      <c r="N24" s="76">
        <f t="shared" si="12"/>
        <v>0</v>
      </c>
      <c r="O24" s="76">
        <f t="shared" si="12"/>
        <v>0</v>
      </c>
      <c r="P24" s="76">
        <f t="shared" si="12"/>
        <v>0</v>
      </c>
      <c r="Q24" s="76">
        <f t="shared" si="12"/>
        <v>0</v>
      </c>
      <c r="R24" s="76">
        <f t="shared" si="12"/>
        <v>0</v>
      </c>
      <c r="S24" s="76">
        <f t="shared" si="12"/>
        <v>0</v>
      </c>
      <c r="T24" s="76">
        <f t="shared" si="12"/>
        <v>0</v>
      </c>
      <c r="U24" s="76">
        <f t="shared" si="12"/>
        <v>0</v>
      </c>
      <c r="V24" s="76">
        <f t="shared" si="12"/>
        <v>0</v>
      </c>
      <c r="W24" s="76"/>
      <c r="X24" s="76">
        <f t="shared" si="4"/>
        <v>735780</v>
      </c>
      <c r="Y24" s="76">
        <f t="shared" si="4"/>
        <v>-6261</v>
      </c>
      <c r="Z24" s="76">
        <f t="shared" si="4"/>
        <v>-85177</v>
      </c>
      <c r="AA24" s="76">
        <f t="shared" si="4"/>
        <v>18547</v>
      </c>
      <c r="AB24" s="76">
        <f t="shared" si="4"/>
        <v>43415</v>
      </c>
      <c r="AC24" s="73">
        <f t="shared" si="5"/>
        <v>78478.222222222219</v>
      </c>
      <c r="AD24" s="73">
        <f t="shared" si="6"/>
        <v>364759.5</v>
      </c>
      <c r="AE24" s="79"/>
      <c r="AF24" s="79"/>
      <c r="AG24" s="79"/>
      <c r="AH24" s="79"/>
      <c r="AI24" s="79"/>
      <c r="AJ24" s="79"/>
      <c r="AK24" s="79"/>
      <c r="AL24" s="79"/>
      <c r="AM24" s="79"/>
      <c r="AN24" s="79"/>
      <c r="AO24" s="79"/>
      <c r="AP24" s="79"/>
    </row>
    <row r="25" spans="1:42">
      <c r="A25" s="72" t="s">
        <v>314</v>
      </c>
      <c r="B25" s="1919"/>
      <c r="C25" s="76"/>
      <c r="D25" s="76">
        <f t="shared" ref="D25:V25" si="13">D13-C13</f>
        <v>0</v>
      </c>
      <c r="E25" s="76">
        <f t="shared" si="13"/>
        <v>0</v>
      </c>
      <c r="F25" s="76">
        <f t="shared" si="13"/>
        <v>0</v>
      </c>
      <c r="G25" s="76">
        <f t="shared" si="13"/>
        <v>0</v>
      </c>
      <c r="H25" s="76">
        <f t="shared" si="13"/>
        <v>0</v>
      </c>
      <c r="I25" s="76">
        <f t="shared" si="13"/>
        <v>0</v>
      </c>
      <c r="J25" s="76">
        <f t="shared" si="13"/>
        <v>0</v>
      </c>
      <c r="K25" s="76">
        <f t="shared" si="13"/>
        <v>0</v>
      </c>
      <c r="L25" s="76">
        <f t="shared" si="13"/>
        <v>0</v>
      </c>
      <c r="M25" s="76">
        <f t="shared" si="13"/>
        <v>0</v>
      </c>
      <c r="N25" s="76">
        <f t="shared" si="13"/>
        <v>0</v>
      </c>
      <c r="O25" s="76">
        <f t="shared" si="13"/>
        <v>0</v>
      </c>
      <c r="P25" s="76">
        <f t="shared" si="13"/>
        <v>0</v>
      </c>
      <c r="Q25" s="76">
        <f t="shared" si="13"/>
        <v>0</v>
      </c>
      <c r="R25" s="76">
        <f t="shared" si="13"/>
        <v>0</v>
      </c>
      <c r="S25" s="76">
        <f t="shared" si="13"/>
        <v>0</v>
      </c>
      <c r="T25" s="76">
        <f t="shared" si="13"/>
        <v>0</v>
      </c>
      <c r="U25" s="76">
        <f t="shared" si="13"/>
        <v>0</v>
      </c>
      <c r="V25" s="76">
        <f t="shared" si="13"/>
        <v>0</v>
      </c>
      <c r="W25" s="76">
        <f>W13-V13</f>
        <v>0</v>
      </c>
      <c r="X25" s="76">
        <f t="shared" si="4"/>
        <v>0</v>
      </c>
      <c r="Y25" s="76">
        <f t="shared" si="4"/>
        <v>717262</v>
      </c>
      <c r="Z25" s="76">
        <f t="shared" si="4"/>
        <v>-50915</v>
      </c>
      <c r="AA25" s="76">
        <f t="shared" si="4"/>
        <v>-3209</v>
      </c>
      <c r="AB25" s="76">
        <f t="shared" si="4"/>
        <v>34706</v>
      </c>
      <c r="AC25" s="73">
        <f t="shared" si="5"/>
        <v>69784.399999999994</v>
      </c>
      <c r="AD25" s="73">
        <f t="shared" si="6"/>
        <v>239087.33333333334</v>
      </c>
      <c r="AE25" s="79"/>
      <c r="AF25" s="79"/>
      <c r="AG25" s="79"/>
      <c r="AH25" s="79"/>
      <c r="AI25" s="79"/>
      <c r="AJ25" s="79"/>
      <c r="AK25" s="79"/>
      <c r="AL25" s="79"/>
      <c r="AM25" s="79"/>
      <c r="AN25" s="79"/>
      <c r="AO25" s="79"/>
      <c r="AP25" s="79"/>
    </row>
    <row r="26" spans="1:42" s="112" customFormat="1">
      <c r="A26" s="74" t="s">
        <v>203</v>
      </c>
      <c r="B26" s="74"/>
      <c r="C26" s="75"/>
      <c r="D26" s="75">
        <f t="shared" ref="D26:AC26" si="14">SUM(D18:D25)</f>
        <v>0</v>
      </c>
      <c r="E26" s="75">
        <f t="shared" si="14"/>
        <v>0</v>
      </c>
      <c r="F26" s="75">
        <f t="shared" si="14"/>
        <v>0</v>
      </c>
      <c r="G26" s="75">
        <f t="shared" si="14"/>
        <v>0</v>
      </c>
      <c r="H26" s="75">
        <f t="shared" si="14"/>
        <v>0</v>
      </c>
      <c r="I26" s="75">
        <f t="shared" si="14"/>
        <v>0</v>
      </c>
      <c r="J26" s="75">
        <f t="shared" si="14"/>
        <v>0</v>
      </c>
      <c r="K26" s="75">
        <f t="shared" si="14"/>
        <v>0</v>
      </c>
      <c r="L26" s="75">
        <f t="shared" si="14"/>
        <v>0</v>
      </c>
      <c r="M26" s="75">
        <f t="shared" si="14"/>
        <v>0</v>
      </c>
      <c r="N26" s="75">
        <f t="shared" si="14"/>
        <v>0</v>
      </c>
      <c r="O26" s="75">
        <f t="shared" si="14"/>
        <v>0</v>
      </c>
      <c r="P26" s="75">
        <f t="shared" si="14"/>
        <v>0</v>
      </c>
      <c r="Q26" s="75">
        <f t="shared" si="14"/>
        <v>0</v>
      </c>
      <c r="R26" s="75">
        <f t="shared" si="14"/>
        <v>0</v>
      </c>
      <c r="S26" s="75">
        <f t="shared" si="14"/>
        <v>0</v>
      </c>
      <c r="T26" s="75">
        <f t="shared" si="14"/>
        <v>0</v>
      </c>
      <c r="U26" s="75">
        <f t="shared" si="14"/>
        <v>0</v>
      </c>
      <c r="V26" s="75">
        <f t="shared" si="14"/>
        <v>578190</v>
      </c>
      <c r="W26" s="75">
        <f t="shared" si="14"/>
        <v>916691</v>
      </c>
      <c r="X26" s="75">
        <f t="shared" si="14"/>
        <v>760434</v>
      </c>
      <c r="Y26" s="75">
        <f t="shared" si="14"/>
        <v>705290</v>
      </c>
      <c r="Z26" s="75">
        <f t="shared" si="14"/>
        <v>-271824</v>
      </c>
      <c r="AA26" s="75">
        <f t="shared" si="14"/>
        <v>76201</v>
      </c>
      <c r="AB26" s="75">
        <f t="shared" si="14"/>
        <v>132007</v>
      </c>
      <c r="AC26" s="75">
        <f t="shared" si="14"/>
        <v>304243.59999999998</v>
      </c>
      <c r="AD26" s="101">
        <f t="shared" si="6"/>
        <v>794138.33333333337</v>
      </c>
      <c r="AE26" s="79"/>
      <c r="AF26" s="79"/>
      <c r="AG26" s="79"/>
      <c r="AH26" s="79"/>
      <c r="AI26" s="79"/>
      <c r="AJ26" s="79"/>
      <c r="AK26" s="79"/>
      <c r="AL26" s="79"/>
      <c r="AM26" s="79"/>
      <c r="AN26" s="79"/>
      <c r="AO26" s="79"/>
      <c r="AP26" s="79"/>
    </row>
    <row r="28" spans="1:42">
      <c r="A28" s="71"/>
      <c r="B28" s="71"/>
      <c r="C28" s="1910" t="s">
        <v>366</v>
      </c>
      <c r="D28" s="1910"/>
      <c r="E28" s="1910"/>
      <c r="F28" s="1910"/>
      <c r="G28" s="1910"/>
      <c r="H28" s="1910"/>
      <c r="I28" s="1910"/>
      <c r="J28" s="1910"/>
      <c r="K28" s="1910"/>
      <c r="L28" s="1910"/>
      <c r="M28" s="1910"/>
      <c r="N28" s="1910"/>
      <c r="O28" s="1910"/>
      <c r="P28" s="1910"/>
      <c r="Q28" s="1910"/>
      <c r="R28" s="1910"/>
      <c r="S28" s="1910"/>
      <c r="T28" s="1910"/>
      <c r="U28" s="1910"/>
      <c r="V28" s="1910"/>
      <c r="W28" s="1910"/>
      <c r="X28" s="1910"/>
      <c r="Y28" s="1910"/>
      <c r="Z28" s="1910"/>
      <c r="AA28" s="1910"/>
      <c r="AB28" s="1910"/>
      <c r="AC28" s="86"/>
      <c r="AD28" s="86"/>
      <c r="AE28" s="115"/>
      <c r="AF28" s="115"/>
      <c r="AG28" s="115"/>
      <c r="AH28" s="115"/>
      <c r="AI28" s="115"/>
      <c r="AJ28" s="115"/>
      <c r="AK28" s="115"/>
      <c r="AL28" s="115"/>
      <c r="AM28" s="115"/>
      <c r="AN28" s="115"/>
      <c r="AO28" s="115"/>
      <c r="AP28" s="115"/>
    </row>
    <row r="29" spans="1:42">
      <c r="A29" s="71"/>
      <c r="B29" s="71"/>
      <c r="C29" s="72" t="s">
        <v>284</v>
      </c>
      <c r="D29" s="72" t="s">
        <v>285</v>
      </c>
      <c r="E29" s="72" t="s">
        <v>286</v>
      </c>
      <c r="F29" s="72" t="s">
        <v>287</v>
      </c>
      <c r="G29" s="72" t="s">
        <v>288</v>
      </c>
      <c r="H29" s="72" t="s">
        <v>289</v>
      </c>
      <c r="I29" s="72" t="s">
        <v>290</v>
      </c>
      <c r="J29" s="72" t="s">
        <v>291</v>
      </c>
      <c r="K29" s="72" t="s">
        <v>292</v>
      </c>
      <c r="L29" s="72" t="s">
        <v>293</v>
      </c>
      <c r="M29" s="72" t="s">
        <v>294</v>
      </c>
      <c r="N29" s="72" t="s">
        <v>295</v>
      </c>
      <c r="O29" s="72" t="s">
        <v>296</v>
      </c>
      <c r="P29" s="72" t="s">
        <v>297</v>
      </c>
      <c r="Q29" s="72" t="s">
        <v>298</v>
      </c>
      <c r="R29" s="72" t="s">
        <v>299</v>
      </c>
      <c r="S29" s="72" t="s">
        <v>300</v>
      </c>
      <c r="T29" s="72" t="s">
        <v>301</v>
      </c>
      <c r="U29" s="72" t="s">
        <v>302</v>
      </c>
      <c r="V29" s="72" t="s">
        <v>303</v>
      </c>
      <c r="W29" s="72" t="s">
        <v>304</v>
      </c>
      <c r="X29" s="72" t="s">
        <v>305</v>
      </c>
      <c r="Y29" s="72" t="s">
        <v>306</v>
      </c>
      <c r="Z29" s="72" t="s">
        <v>307</v>
      </c>
      <c r="AA29" s="72" t="s">
        <v>308</v>
      </c>
      <c r="AB29" s="72" t="s">
        <v>309</v>
      </c>
      <c r="AC29" s="72" t="s">
        <v>351</v>
      </c>
      <c r="AD29" s="72" t="s">
        <v>352</v>
      </c>
      <c r="AE29" s="72" t="s">
        <v>340</v>
      </c>
      <c r="AF29" s="72" t="s">
        <v>341</v>
      </c>
      <c r="AG29" s="72" t="s">
        <v>342</v>
      </c>
      <c r="AH29" s="72" t="s">
        <v>343</v>
      </c>
      <c r="AI29" s="72" t="s">
        <v>344</v>
      </c>
      <c r="AJ29" s="72" t="s">
        <v>345</v>
      </c>
      <c r="AK29" s="72" t="s">
        <v>346</v>
      </c>
      <c r="AL29" s="72" t="s">
        <v>347</v>
      </c>
      <c r="AM29" s="72" t="s">
        <v>348</v>
      </c>
      <c r="AN29" s="72" t="s">
        <v>349</v>
      </c>
      <c r="AO29" s="72" t="s">
        <v>350</v>
      </c>
      <c r="AP29" s="72" t="s">
        <v>353</v>
      </c>
    </row>
    <row r="30" spans="1:42">
      <c r="A30" s="72" t="s">
        <v>315</v>
      </c>
      <c r="B30" s="1917" t="s">
        <v>339</v>
      </c>
      <c r="C30" s="76"/>
      <c r="D30" s="77" t="e">
        <f t="shared" ref="D30:AB30" si="15">D18/C6</f>
        <v>#DIV/0!</v>
      </c>
      <c r="E30" s="77" t="e">
        <f t="shared" si="15"/>
        <v>#DIV/0!</v>
      </c>
      <c r="F30" s="77" t="e">
        <f t="shared" si="15"/>
        <v>#DIV/0!</v>
      </c>
      <c r="G30" s="77" t="e">
        <f t="shared" si="15"/>
        <v>#DIV/0!</v>
      </c>
      <c r="H30" s="77" t="e">
        <f t="shared" si="15"/>
        <v>#DIV/0!</v>
      </c>
      <c r="I30" s="77" t="e">
        <f t="shared" si="15"/>
        <v>#DIV/0!</v>
      </c>
      <c r="J30" s="77" t="e">
        <f t="shared" si="15"/>
        <v>#DIV/0!</v>
      </c>
      <c r="K30" s="77" t="e">
        <f t="shared" si="15"/>
        <v>#DIV/0!</v>
      </c>
      <c r="L30" s="77" t="e">
        <f t="shared" si="15"/>
        <v>#DIV/0!</v>
      </c>
      <c r="M30" s="77" t="e">
        <f t="shared" si="15"/>
        <v>#DIV/0!</v>
      </c>
      <c r="N30" s="77" t="e">
        <f t="shared" si="15"/>
        <v>#DIV/0!</v>
      </c>
      <c r="O30" s="77" t="e">
        <f t="shared" si="15"/>
        <v>#DIV/0!</v>
      </c>
      <c r="P30" s="77" t="e">
        <f t="shared" si="15"/>
        <v>#DIV/0!</v>
      </c>
      <c r="Q30" s="77" t="e">
        <f t="shared" si="15"/>
        <v>#DIV/0!</v>
      </c>
      <c r="R30" s="77" t="e">
        <f t="shared" si="15"/>
        <v>#DIV/0!</v>
      </c>
      <c r="S30" s="77" t="e">
        <f t="shared" si="15"/>
        <v>#DIV/0!</v>
      </c>
      <c r="T30" s="77" t="e">
        <f t="shared" si="15"/>
        <v>#DIV/0!</v>
      </c>
      <c r="U30" s="77" t="e">
        <f t="shared" si="15"/>
        <v>#DIV/0!</v>
      </c>
      <c r="V30" s="77" t="e">
        <f t="shared" si="15"/>
        <v>#DIV/0!</v>
      </c>
      <c r="W30" s="77" t="e">
        <f t="shared" si="15"/>
        <v>#DIV/0!</v>
      </c>
      <c r="X30" s="77" t="e">
        <f t="shared" si="15"/>
        <v>#DIV/0!</v>
      </c>
      <c r="Y30" s="77" t="e">
        <f t="shared" si="15"/>
        <v>#DIV/0!</v>
      </c>
      <c r="Z30" s="77" t="e">
        <f t="shared" si="15"/>
        <v>#DIV/0!</v>
      </c>
      <c r="AA30" s="77" t="e">
        <f t="shared" si="15"/>
        <v>#DIV/0!</v>
      </c>
      <c r="AB30" s="77" t="e">
        <f t="shared" si="15"/>
        <v>#DIV/0!</v>
      </c>
      <c r="AC30" s="98" t="e">
        <f t="shared" ref="AC30:AC38" si="16">AVERAGE(X30:AB30)</f>
        <v>#DIV/0!</v>
      </c>
      <c r="AD30" s="98" t="e">
        <f t="shared" ref="AD30:AD38" si="17">AVERAGE(X30:Y30)</f>
        <v>#DIV/0!</v>
      </c>
      <c r="AE30" s="117"/>
      <c r="AF30" s="117"/>
      <c r="AG30" s="117"/>
      <c r="AH30" s="117"/>
      <c r="AI30" s="117"/>
      <c r="AJ30" s="117"/>
      <c r="AK30" s="117"/>
      <c r="AL30" s="117"/>
      <c r="AM30" s="117"/>
      <c r="AN30" s="117"/>
      <c r="AO30" s="117"/>
      <c r="AP30" s="117"/>
    </row>
    <row r="31" spans="1:42">
      <c r="A31" s="72" t="s">
        <v>310</v>
      </c>
      <c r="B31" s="1918"/>
      <c r="C31" s="76"/>
      <c r="D31" s="77" t="e">
        <f t="shared" ref="D31:AB31" si="18">D19/C7</f>
        <v>#DIV/0!</v>
      </c>
      <c r="E31" s="77" t="e">
        <f t="shared" si="18"/>
        <v>#DIV/0!</v>
      </c>
      <c r="F31" s="77" t="e">
        <f t="shared" si="18"/>
        <v>#DIV/0!</v>
      </c>
      <c r="G31" s="77" t="e">
        <f t="shared" si="18"/>
        <v>#DIV/0!</v>
      </c>
      <c r="H31" s="77" t="e">
        <f t="shared" si="18"/>
        <v>#DIV/0!</v>
      </c>
      <c r="I31" s="77" t="e">
        <f t="shared" si="18"/>
        <v>#DIV/0!</v>
      </c>
      <c r="J31" s="77" t="e">
        <f t="shared" si="18"/>
        <v>#DIV/0!</v>
      </c>
      <c r="K31" s="77" t="e">
        <f t="shared" si="18"/>
        <v>#DIV/0!</v>
      </c>
      <c r="L31" s="77" t="e">
        <f t="shared" si="18"/>
        <v>#DIV/0!</v>
      </c>
      <c r="M31" s="77" t="e">
        <f t="shared" si="18"/>
        <v>#DIV/0!</v>
      </c>
      <c r="N31" s="77" t="e">
        <f t="shared" si="18"/>
        <v>#DIV/0!</v>
      </c>
      <c r="O31" s="77" t="e">
        <f t="shared" si="18"/>
        <v>#DIV/0!</v>
      </c>
      <c r="P31" s="77" t="e">
        <f t="shared" si="18"/>
        <v>#DIV/0!</v>
      </c>
      <c r="Q31" s="77" t="e">
        <f t="shared" si="18"/>
        <v>#DIV/0!</v>
      </c>
      <c r="R31" s="77" t="e">
        <f t="shared" si="18"/>
        <v>#DIV/0!</v>
      </c>
      <c r="S31" s="77" t="e">
        <f t="shared" si="18"/>
        <v>#DIV/0!</v>
      </c>
      <c r="T31" s="77" t="e">
        <f t="shared" si="18"/>
        <v>#DIV/0!</v>
      </c>
      <c r="U31" s="77" t="e">
        <f t="shared" si="18"/>
        <v>#DIV/0!</v>
      </c>
      <c r="V31" s="77" t="e">
        <f t="shared" si="18"/>
        <v>#DIV/0!</v>
      </c>
      <c r="W31" s="77">
        <f t="shared" si="18"/>
        <v>0</v>
      </c>
      <c r="X31" s="77">
        <f t="shared" si="18"/>
        <v>0</v>
      </c>
      <c r="Y31" s="77">
        <f t="shared" si="18"/>
        <v>1.8241408533527043E-2</v>
      </c>
      <c r="Z31" s="77">
        <f t="shared" si="18"/>
        <v>1.7914620620073141E-2</v>
      </c>
      <c r="AA31" s="77">
        <f t="shared" si="18"/>
        <v>1.7599335206679972E-2</v>
      </c>
      <c r="AB31" s="77">
        <f t="shared" si="18"/>
        <v>1.7294955487667896E-2</v>
      </c>
      <c r="AC31" s="98">
        <f t="shared" si="16"/>
        <v>1.4210063969589608E-2</v>
      </c>
      <c r="AD31" s="98">
        <f t="shared" si="17"/>
        <v>9.1207042667635213E-3</v>
      </c>
      <c r="AE31" s="117"/>
      <c r="AF31" s="117"/>
      <c r="AG31" s="117"/>
      <c r="AH31" s="117"/>
      <c r="AI31" s="117"/>
      <c r="AJ31" s="117"/>
      <c r="AK31" s="117"/>
      <c r="AL31" s="117"/>
      <c r="AM31" s="117"/>
      <c r="AN31" s="117"/>
      <c r="AO31" s="117"/>
      <c r="AP31" s="117"/>
    </row>
    <row r="32" spans="1:42">
      <c r="A32" s="72" t="s">
        <v>317</v>
      </c>
      <c r="B32" s="1918"/>
      <c r="C32" s="76"/>
      <c r="D32" s="77" t="e">
        <f t="shared" ref="D32:AB32" si="19">D20/C8</f>
        <v>#DIV/0!</v>
      </c>
      <c r="E32" s="77" t="e">
        <f t="shared" si="19"/>
        <v>#DIV/0!</v>
      </c>
      <c r="F32" s="77" t="e">
        <f t="shared" si="19"/>
        <v>#DIV/0!</v>
      </c>
      <c r="G32" s="77" t="e">
        <f t="shared" si="19"/>
        <v>#DIV/0!</v>
      </c>
      <c r="H32" s="77" t="e">
        <f t="shared" si="19"/>
        <v>#DIV/0!</v>
      </c>
      <c r="I32" s="77" t="e">
        <f t="shared" si="19"/>
        <v>#DIV/0!</v>
      </c>
      <c r="J32" s="77" t="e">
        <f t="shared" si="19"/>
        <v>#DIV/0!</v>
      </c>
      <c r="K32" s="77" t="e">
        <f t="shared" si="19"/>
        <v>#DIV/0!</v>
      </c>
      <c r="L32" s="77" t="e">
        <f t="shared" si="19"/>
        <v>#DIV/0!</v>
      </c>
      <c r="M32" s="77" t="e">
        <f t="shared" si="19"/>
        <v>#DIV/0!</v>
      </c>
      <c r="N32" s="77" t="e">
        <f t="shared" si="19"/>
        <v>#DIV/0!</v>
      </c>
      <c r="O32" s="77" t="e">
        <f t="shared" si="19"/>
        <v>#DIV/0!</v>
      </c>
      <c r="P32" s="77" t="e">
        <f t="shared" si="19"/>
        <v>#DIV/0!</v>
      </c>
      <c r="Q32" s="77" t="e">
        <f t="shared" si="19"/>
        <v>#DIV/0!</v>
      </c>
      <c r="R32" s="77" t="e">
        <f t="shared" si="19"/>
        <v>#DIV/0!</v>
      </c>
      <c r="S32" s="77" t="e">
        <f t="shared" si="19"/>
        <v>#DIV/0!</v>
      </c>
      <c r="T32" s="77" t="e">
        <f t="shared" si="19"/>
        <v>#DIV/0!</v>
      </c>
      <c r="U32" s="77" t="e">
        <f t="shared" si="19"/>
        <v>#DIV/0!</v>
      </c>
      <c r="V32" s="77" t="e">
        <f t="shared" si="19"/>
        <v>#DIV/0!</v>
      </c>
      <c r="W32" s="77" t="e">
        <f t="shared" si="19"/>
        <v>#DIV/0!</v>
      </c>
      <c r="X32" s="77" t="e">
        <f t="shared" si="19"/>
        <v>#DIV/0!</v>
      </c>
      <c r="Y32" s="77" t="e">
        <f t="shared" si="19"/>
        <v>#DIV/0!</v>
      </c>
      <c r="Z32" s="77" t="e">
        <f t="shared" si="19"/>
        <v>#DIV/0!</v>
      </c>
      <c r="AA32" s="77" t="e">
        <f t="shared" si="19"/>
        <v>#DIV/0!</v>
      </c>
      <c r="AB32" s="77" t="e">
        <f t="shared" si="19"/>
        <v>#DIV/0!</v>
      </c>
      <c r="AC32" s="98" t="e">
        <f t="shared" si="16"/>
        <v>#DIV/0!</v>
      </c>
      <c r="AD32" s="98" t="e">
        <f t="shared" si="17"/>
        <v>#DIV/0!</v>
      </c>
      <c r="AE32" s="117"/>
      <c r="AF32" s="117"/>
      <c r="AG32" s="117"/>
      <c r="AH32" s="117"/>
      <c r="AI32" s="117"/>
      <c r="AJ32" s="117"/>
      <c r="AK32" s="117"/>
      <c r="AL32" s="117"/>
      <c r="AM32" s="117"/>
      <c r="AN32" s="117"/>
      <c r="AO32" s="117"/>
      <c r="AP32" s="117"/>
    </row>
    <row r="33" spans="1:42">
      <c r="A33" s="72" t="s">
        <v>313</v>
      </c>
      <c r="B33" s="1918"/>
      <c r="C33" s="76"/>
      <c r="D33" s="77" t="e">
        <f t="shared" ref="D33:AB33" si="20">D21/C9</f>
        <v>#DIV/0!</v>
      </c>
      <c r="E33" s="77" t="e">
        <f t="shared" si="20"/>
        <v>#DIV/0!</v>
      </c>
      <c r="F33" s="77" t="e">
        <f t="shared" si="20"/>
        <v>#DIV/0!</v>
      </c>
      <c r="G33" s="77" t="e">
        <f t="shared" si="20"/>
        <v>#DIV/0!</v>
      </c>
      <c r="H33" s="77" t="e">
        <f t="shared" si="20"/>
        <v>#DIV/0!</v>
      </c>
      <c r="I33" s="77" t="e">
        <f t="shared" si="20"/>
        <v>#DIV/0!</v>
      </c>
      <c r="J33" s="77" t="e">
        <f t="shared" si="20"/>
        <v>#DIV/0!</v>
      </c>
      <c r="K33" s="77" t="e">
        <f t="shared" si="20"/>
        <v>#DIV/0!</v>
      </c>
      <c r="L33" s="77" t="e">
        <f t="shared" si="20"/>
        <v>#DIV/0!</v>
      </c>
      <c r="M33" s="77" t="e">
        <f t="shared" si="20"/>
        <v>#DIV/0!</v>
      </c>
      <c r="N33" s="77" t="e">
        <f t="shared" si="20"/>
        <v>#DIV/0!</v>
      </c>
      <c r="O33" s="77" t="e">
        <f t="shared" si="20"/>
        <v>#DIV/0!</v>
      </c>
      <c r="P33" s="77" t="e">
        <f t="shared" si="20"/>
        <v>#DIV/0!</v>
      </c>
      <c r="Q33" s="77" t="e">
        <f t="shared" si="20"/>
        <v>#DIV/0!</v>
      </c>
      <c r="R33" s="77" t="e">
        <f t="shared" si="20"/>
        <v>#DIV/0!</v>
      </c>
      <c r="S33" s="77" t="e">
        <f t="shared" si="20"/>
        <v>#DIV/0!</v>
      </c>
      <c r="T33" s="77" t="e">
        <f t="shared" si="20"/>
        <v>#DIV/0!</v>
      </c>
      <c r="U33" s="77" t="e">
        <f t="shared" si="20"/>
        <v>#DIV/0!</v>
      </c>
      <c r="V33" s="77" t="e">
        <f t="shared" si="20"/>
        <v>#DIV/0!</v>
      </c>
      <c r="W33" s="77" t="e">
        <f t="shared" si="20"/>
        <v>#DIV/0!</v>
      </c>
      <c r="X33" s="77">
        <f t="shared" si="20"/>
        <v>1.175314255294314E-2</v>
      </c>
      <c r="Y33" s="77">
        <f t="shared" si="20"/>
        <v>-2.1856350374407661E-2</v>
      </c>
      <c r="Z33" s="77">
        <f t="shared" si="20"/>
        <v>-3.6043007339113795E-2</v>
      </c>
      <c r="AA33" s="77">
        <f t="shared" si="20"/>
        <v>-1.1790791495901639E-2</v>
      </c>
      <c r="AB33" s="77">
        <f t="shared" si="20"/>
        <v>3.0013249477831714E-2</v>
      </c>
      <c r="AC33" s="98">
        <f t="shared" si="16"/>
        <v>-5.5847514357296492E-3</v>
      </c>
      <c r="AD33" s="98">
        <f t="shared" si="17"/>
        <v>-5.0516039107322604E-3</v>
      </c>
      <c r="AE33" s="117"/>
      <c r="AF33" s="117"/>
      <c r="AG33" s="117"/>
      <c r="AH33" s="117"/>
      <c r="AI33" s="117"/>
      <c r="AJ33" s="117"/>
      <c r="AK33" s="117"/>
      <c r="AL33" s="117"/>
      <c r="AM33" s="117"/>
      <c r="AN33" s="117"/>
      <c r="AO33" s="117"/>
      <c r="AP33" s="117"/>
    </row>
    <row r="34" spans="1:42">
      <c r="A34" s="72" t="s">
        <v>316</v>
      </c>
      <c r="B34" s="1918"/>
      <c r="C34" s="76"/>
      <c r="D34" s="77" t="e">
        <f t="shared" ref="D34:AB34" si="21">D22/C10</f>
        <v>#DIV/0!</v>
      </c>
      <c r="E34" s="77" t="e">
        <f t="shared" si="21"/>
        <v>#DIV/0!</v>
      </c>
      <c r="F34" s="77" t="e">
        <f t="shared" si="21"/>
        <v>#DIV/0!</v>
      </c>
      <c r="G34" s="77" t="e">
        <f t="shared" si="21"/>
        <v>#DIV/0!</v>
      </c>
      <c r="H34" s="77" t="e">
        <f t="shared" si="21"/>
        <v>#DIV/0!</v>
      </c>
      <c r="I34" s="77" t="e">
        <f t="shared" si="21"/>
        <v>#DIV/0!</v>
      </c>
      <c r="J34" s="77" t="e">
        <f t="shared" si="21"/>
        <v>#DIV/0!</v>
      </c>
      <c r="K34" s="77" t="e">
        <f t="shared" si="21"/>
        <v>#DIV/0!</v>
      </c>
      <c r="L34" s="77" t="e">
        <f t="shared" si="21"/>
        <v>#DIV/0!</v>
      </c>
      <c r="M34" s="77" t="e">
        <f t="shared" si="21"/>
        <v>#DIV/0!</v>
      </c>
      <c r="N34" s="77" t="e">
        <f t="shared" si="21"/>
        <v>#DIV/0!</v>
      </c>
      <c r="O34" s="77" t="e">
        <f t="shared" si="21"/>
        <v>#DIV/0!</v>
      </c>
      <c r="P34" s="77" t="e">
        <f t="shared" si="21"/>
        <v>#DIV/0!</v>
      </c>
      <c r="Q34" s="77" t="e">
        <f t="shared" si="21"/>
        <v>#DIV/0!</v>
      </c>
      <c r="R34" s="77" t="e">
        <f t="shared" si="21"/>
        <v>#DIV/0!</v>
      </c>
      <c r="S34" s="77" t="e">
        <f t="shared" si="21"/>
        <v>#DIV/0!</v>
      </c>
      <c r="T34" s="77" t="e">
        <f t="shared" si="21"/>
        <v>#DIV/0!</v>
      </c>
      <c r="U34" s="77" t="e">
        <f t="shared" si="21"/>
        <v>#DIV/0!</v>
      </c>
      <c r="V34" s="77" t="e">
        <f t="shared" si="21"/>
        <v>#DIV/0!</v>
      </c>
      <c r="W34" s="77" t="e">
        <f t="shared" si="21"/>
        <v>#DIV/0!</v>
      </c>
      <c r="X34" s="77" t="e">
        <f t="shared" si="21"/>
        <v>#DIV/0!</v>
      </c>
      <c r="Y34" s="77" t="e">
        <f t="shared" si="21"/>
        <v>#DIV/0!</v>
      </c>
      <c r="Z34" s="77" t="e">
        <f t="shared" si="21"/>
        <v>#DIV/0!</v>
      </c>
      <c r="AA34" s="77" t="e">
        <f t="shared" si="21"/>
        <v>#DIV/0!</v>
      </c>
      <c r="AB34" s="77" t="e">
        <f t="shared" si="21"/>
        <v>#DIV/0!</v>
      </c>
      <c r="AC34" s="98" t="e">
        <f t="shared" si="16"/>
        <v>#DIV/0!</v>
      </c>
      <c r="AD34" s="98" t="e">
        <f t="shared" si="17"/>
        <v>#DIV/0!</v>
      </c>
      <c r="AE34" s="117"/>
      <c r="AF34" s="117"/>
      <c r="AG34" s="117"/>
      <c r="AH34" s="117"/>
      <c r="AI34" s="117"/>
      <c r="AJ34" s="117"/>
      <c r="AK34" s="117"/>
      <c r="AL34" s="117"/>
      <c r="AM34" s="117"/>
      <c r="AN34" s="117"/>
      <c r="AO34" s="117"/>
      <c r="AP34" s="117"/>
    </row>
    <row r="35" spans="1:42">
      <c r="A35" s="72" t="s">
        <v>312</v>
      </c>
      <c r="B35" s="1918"/>
      <c r="C35" s="76"/>
      <c r="D35" s="77" t="e">
        <f t="shared" ref="D35:AB35" si="22">D23/C11</f>
        <v>#DIV/0!</v>
      </c>
      <c r="E35" s="77" t="e">
        <f t="shared" si="22"/>
        <v>#DIV/0!</v>
      </c>
      <c r="F35" s="77" t="e">
        <f t="shared" si="22"/>
        <v>#DIV/0!</v>
      </c>
      <c r="G35" s="77" t="e">
        <f t="shared" si="22"/>
        <v>#DIV/0!</v>
      </c>
      <c r="H35" s="77" t="e">
        <f t="shared" si="22"/>
        <v>#DIV/0!</v>
      </c>
      <c r="I35" s="77" t="e">
        <f t="shared" si="22"/>
        <v>#DIV/0!</v>
      </c>
      <c r="J35" s="77" t="e">
        <f t="shared" si="22"/>
        <v>#DIV/0!</v>
      </c>
      <c r="K35" s="77" t="e">
        <f t="shared" si="22"/>
        <v>#DIV/0!</v>
      </c>
      <c r="L35" s="77" t="e">
        <f t="shared" si="22"/>
        <v>#DIV/0!</v>
      </c>
      <c r="M35" s="77" t="e">
        <f t="shared" si="22"/>
        <v>#DIV/0!</v>
      </c>
      <c r="N35" s="77" t="e">
        <f t="shared" si="22"/>
        <v>#DIV/0!</v>
      </c>
      <c r="O35" s="77" t="e">
        <f t="shared" si="22"/>
        <v>#DIV/0!</v>
      </c>
      <c r="P35" s="77" t="e">
        <f t="shared" si="22"/>
        <v>#DIV/0!</v>
      </c>
      <c r="Q35" s="77" t="e">
        <f t="shared" si="22"/>
        <v>#DIV/0!</v>
      </c>
      <c r="R35" s="77" t="e">
        <f t="shared" si="22"/>
        <v>#DIV/0!</v>
      </c>
      <c r="S35" s="77" t="e">
        <f t="shared" si="22"/>
        <v>#DIV/0!</v>
      </c>
      <c r="T35" s="77" t="e">
        <f t="shared" si="22"/>
        <v>#DIV/0!</v>
      </c>
      <c r="U35" s="77" t="e">
        <f t="shared" si="22"/>
        <v>#DIV/0!</v>
      </c>
      <c r="V35" s="77" t="e">
        <f t="shared" si="22"/>
        <v>#DIV/0!</v>
      </c>
      <c r="W35" s="77" t="e">
        <f t="shared" si="22"/>
        <v>#DIV/0!</v>
      </c>
      <c r="X35" s="77">
        <f t="shared" si="22"/>
        <v>1.1703983654897755E-2</v>
      </c>
      <c r="Y35" s="77">
        <f t="shared" si="22"/>
        <v>3.3447213329543817E-3</v>
      </c>
      <c r="Z35" s="77">
        <f t="shared" si="22"/>
        <v>-9.4350954549456981E-2</v>
      </c>
      <c r="AA35" s="77">
        <f t="shared" si="22"/>
        <v>5.5609213810258906E-2</v>
      </c>
      <c r="AB35" s="77">
        <f t="shared" si="22"/>
        <v>1.5120866134890431E-2</v>
      </c>
      <c r="AC35" s="98">
        <f t="shared" si="16"/>
        <v>-1.7144339232911001E-3</v>
      </c>
      <c r="AD35" s="98">
        <f t="shared" si="17"/>
        <v>7.5243524939260682E-3</v>
      </c>
      <c r="AE35" s="117"/>
      <c r="AF35" s="117"/>
      <c r="AG35" s="117"/>
      <c r="AH35" s="117"/>
      <c r="AI35" s="117"/>
      <c r="AJ35" s="117"/>
      <c r="AK35" s="117"/>
      <c r="AL35" s="117"/>
      <c r="AM35" s="117"/>
      <c r="AN35" s="117"/>
      <c r="AO35" s="117"/>
      <c r="AP35" s="117"/>
    </row>
    <row r="36" spans="1:42">
      <c r="A36" s="72" t="s">
        <v>311</v>
      </c>
      <c r="B36" s="1918"/>
      <c r="C36" s="76"/>
      <c r="D36" s="77" t="e">
        <f t="shared" ref="D36:AB36" si="23">D24/C12</f>
        <v>#DIV/0!</v>
      </c>
      <c r="E36" s="77" t="e">
        <f t="shared" si="23"/>
        <v>#DIV/0!</v>
      </c>
      <c r="F36" s="77" t="e">
        <f t="shared" si="23"/>
        <v>#DIV/0!</v>
      </c>
      <c r="G36" s="77" t="e">
        <f t="shared" si="23"/>
        <v>#DIV/0!</v>
      </c>
      <c r="H36" s="77" t="e">
        <f t="shared" si="23"/>
        <v>#DIV/0!</v>
      </c>
      <c r="I36" s="77" t="e">
        <f t="shared" si="23"/>
        <v>#DIV/0!</v>
      </c>
      <c r="J36" s="77" t="e">
        <f t="shared" si="23"/>
        <v>#DIV/0!</v>
      </c>
      <c r="K36" s="77" t="e">
        <f t="shared" si="23"/>
        <v>#DIV/0!</v>
      </c>
      <c r="L36" s="77" t="e">
        <f t="shared" si="23"/>
        <v>#DIV/0!</v>
      </c>
      <c r="M36" s="77" t="e">
        <f t="shared" si="23"/>
        <v>#DIV/0!</v>
      </c>
      <c r="N36" s="77" t="e">
        <f t="shared" si="23"/>
        <v>#DIV/0!</v>
      </c>
      <c r="O36" s="77" t="e">
        <f t="shared" si="23"/>
        <v>#DIV/0!</v>
      </c>
      <c r="P36" s="77" t="e">
        <f t="shared" si="23"/>
        <v>#DIV/0!</v>
      </c>
      <c r="Q36" s="77" t="e">
        <f t="shared" si="23"/>
        <v>#DIV/0!</v>
      </c>
      <c r="R36" s="77" t="e">
        <f t="shared" si="23"/>
        <v>#DIV/0!</v>
      </c>
      <c r="S36" s="77" t="e">
        <f t="shared" si="23"/>
        <v>#DIV/0!</v>
      </c>
      <c r="T36" s="77" t="e">
        <f t="shared" si="23"/>
        <v>#DIV/0!</v>
      </c>
      <c r="U36" s="77" t="e">
        <f t="shared" si="23"/>
        <v>#DIV/0!</v>
      </c>
      <c r="V36" s="77" t="e">
        <f t="shared" si="23"/>
        <v>#DIV/0!</v>
      </c>
      <c r="W36" s="77" t="e">
        <f t="shared" si="23"/>
        <v>#DIV/0!</v>
      </c>
      <c r="X36" s="77" t="e">
        <f t="shared" si="23"/>
        <v>#DIV/0!</v>
      </c>
      <c r="Y36" s="77">
        <f t="shared" si="23"/>
        <v>-8.5093370300905156E-3</v>
      </c>
      <c r="Z36" s="77">
        <f t="shared" si="23"/>
        <v>-0.1167577540817991</v>
      </c>
      <c r="AA36" s="77">
        <f t="shared" si="23"/>
        <v>2.8784403313768154E-2</v>
      </c>
      <c r="AB36" s="77">
        <f t="shared" si="23"/>
        <v>6.5493619595437549E-2</v>
      </c>
      <c r="AC36" s="98" t="e">
        <f t="shared" si="16"/>
        <v>#DIV/0!</v>
      </c>
      <c r="AD36" s="98" t="e">
        <f t="shared" si="17"/>
        <v>#DIV/0!</v>
      </c>
      <c r="AE36" s="117"/>
      <c r="AF36" s="117"/>
      <c r="AG36" s="117"/>
      <c r="AH36" s="117"/>
      <c r="AI36" s="117"/>
      <c r="AJ36" s="117"/>
      <c r="AK36" s="117"/>
      <c r="AL36" s="117"/>
      <c r="AM36" s="117"/>
      <c r="AN36" s="117"/>
      <c r="AO36" s="117"/>
      <c r="AP36" s="117"/>
    </row>
    <row r="37" spans="1:42">
      <c r="A37" s="72" t="s">
        <v>314</v>
      </c>
      <c r="B37" s="1919"/>
      <c r="C37" s="76"/>
      <c r="D37" s="77" t="e">
        <f t="shared" ref="D37:AB37" si="24">D25/C13</f>
        <v>#DIV/0!</v>
      </c>
      <c r="E37" s="77" t="e">
        <f t="shared" si="24"/>
        <v>#DIV/0!</v>
      </c>
      <c r="F37" s="77" t="e">
        <f t="shared" si="24"/>
        <v>#DIV/0!</v>
      </c>
      <c r="G37" s="77" t="e">
        <f t="shared" si="24"/>
        <v>#DIV/0!</v>
      </c>
      <c r="H37" s="77" t="e">
        <f t="shared" si="24"/>
        <v>#DIV/0!</v>
      </c>
      <c r="I37" s="77" t="e">
        <f t="shared" si="24"/>
        <v>#DIV/0!</v>
      </c>
      <c r="J37" s="77" t="e">
        <f t="shared" si="24"/>
        <v>#DIV/0!</v>
      </c>
      <c r="K37" s="77" t="e">
        <f t="shared" si="24"/>
        <v>#DIV/0!</v>
      </c>
      <c r="L37" s="77" t="e">
        <f t="shared" si="24"/>
        <v>#DIV/0!</v>
      </c>
      <c r="M37" s="77" t="e">
        <f t="shared" si="24"/>
        <v>#DIV/0!</v>
      </c>
      <c r="N37" s="77" t="e">
        <f t="shared" si="24"/>
        <v>#DIV/0!</v>
      </c>
      <c r="O37" s="77" t="e">
        <f t="shared" si="24"/>
        <v>#DIV/0!</v>
      </c>
      <c r="P37" s="77" t="e">
        <f t="shared" si="24"/>
        <v>#DIV/0!</v>
      </c>
      <c r="Q37" s="77" t="e">
        <f t="shared" si="24"/>
        <v>#DIV/0!</v>
      </c>
      <c r="R37" s="77" t="e">
        <f t="shared" si="24"/>
        <v>#DIV/0!</v>
      </c>
      <c r="S37" s="77" t="e">
        <f t="shared" si="24"/>
        <v>#DIV/0!</v>
      </c>
      <c r="T37" s="77" t="e">
        <f t="shared" si="24"/>
        <v>#DIV/0!</v>
      </c>
      <c r="U37" s="77" t="e">
        <f t="shared" si="24"/>
        <v>#DIV/0!</v>
      </c>
      <c r="V37" s="77" t="e">
        <f t="shared" si="24"/>
        <v>#DIV/0!</v>
      </c>
      <c r="W37" s="77" t="e">
        <f t="shared" si="24"/>
        <v>#DIV/0!</v>
      </c>
      <c r="X37" s="77" t="e">
        <f t="shared" si="24"/>
        <v>#DIV/0!</v>
      </c>
      <c r="Y37" s="77" t="e">
        <f t="shared" si="24"/>
        <v>#DIV/0!</v>
      </c>
      <c r="Z37" s="77">
        <f t="shared" si="24"/>
        <v>-7.098521879034439E-2</v>
      </c>
      <c r="AA37" s="77">
        <f t="shared" si="24"/>
        <v>-4.8158091805020507E-3</v>
      </c>
      <c r="AB37" s="77">
        <f t="shared" si="24"/>
        <v>5.2336014524880188E-2</v>
      </c>
      <c r="AC37" s="98" t="e">
        <f t="shared" si="16"/>
        <v>#DIV/0!</v>
      </c>
      <c r="AD37" s="98" t="e">
        <f t="shared" si="17"/>
        <v>#DIV/0!</v>
      </c>
      <c r="AE37" s="117"/>
      <c r="AF37" s="117"/>
      <c r="AG37" s="117"/>
      <c r="AH37" s="117"/>
      <c r="AI37" s="117"/>
      <c r="AJ37" s="117"/>
      <c r="AK37" s="117"/>
      <c r="AL37" s="117"/>
      <c r="AM37" s="117"/>
      <c r="AN37" s="117"/>
      <c r="AO37" s="117"/>
      <c r="AP37" s="117"/>
    </row>
    <row r="38" spans="1:42" s="112" customFormat="1">
      <c r="A38" s="74" t="s">
        <v>203</v>
      </c>
      <c r="B38" s="74"/>
      <c r="C38" s="75"/>
      <c r="D38" s="78" t="e">
        <f t="shared" ref="D38:AB38" si="25">D26/C14</f>
        <v>#DIV/0!</v>
      </c>
      <c r="E38" s="78" t="e">
        <f t="shared" si="25"/>
        <v>#DIV/0!</v>
      </c>
      <c r="F38" s="78" t="e">
        <f t="shared" si="25"/>
        <v>#DIV/0!</v>
      </c>
      <c r="G38" s="78" t="e">
        <f t="shared" si="25"/>
        <v>#DIV/0!</v>
      </c>
      <c r="H38" s="78" t="e">
        <f t="shared" si="25"/>
        <v>#DIV/0!</v>
      </c>
      <c r="I38" s="78" t="e">
        <f t="shared" si="25"/>
        <v>#DIV/0!</v>
      </c>
      <c r="J38" s="78" t="e">
        <f t="shared" si="25"/>
        <v>#DIV/0!</v>
      </c>
      <c r="K38" s="78" t="e">
        <f t="shared" si="25"/>
        <v>#DIV/0!</v>
      </c>
      <c r="L38" s="78" t="e">
        <f t="shared" si="25"/>
        <v>#DIV/0!</v>
      </c>
      <c r="M38" s="78" t="e">
        <f t="shared" si="25"/>
        <v>#DIV/0!</v>
      </c>
      <c r="N38" s="78" t="e">
        <f t="shared" si="25"/>
        <v>#DIV/0!</v>
      </c>
      <c r="O38" s="78" t="e">
        <f t="shared" si="25"/>
        <v>#DIV/0!</v>
      </c>
      <c r="P38" s="78" t="e">
        <f t="shared" si="25"/>
        <v>#DIV/0!</v>
      </c>
      <c r="Q38" s="78" t="e">
        <f t="shared" si="25"/>
        <v>#DIV/0!</v>
      </c>
      <c r="R38" s="78" t="e">
        <f t="shared" si="25"/>
        <v>#DIV/0!</v>
      </c>
      <c r="S38" s="78" t="e">
        <f t="shared" si="25"/>
        <v>#DIV/0!</v>
      </c>
      <c r="T38" s="78" t="e">
        <f t="shared" si="25"/>
        <v>#DIV/0!</v>
      </c>
      <c r="U38" s="78" t="e">
        <f t="shared" si="25"/>
        <v>#DIV/0!</v>
      </c>
      <c r="V38" s="78" t="e">
        <f t="shared" si="25"/>
        <v>#DIV/0!</v>
      </c>
      <c r="W38" s="78">
        <f t="shared" si="25"/>
        <v>1.5854494197409157</v>
      </c>
      <c r="X38" s="78">
        <f t="shared" si="25"/>
        <v>0.28365914379353641</v>
      </c>
      <c r="Y38" s="78">
        <f t="shared" si="25"/>
        <v>0.20495252287259577</v>
      </c>
      <c r="Z38" s="78">
        <f t="shared" si="25"/>
        <v>-6.555463537428681E-2</v>
      </c>
      <c r="AA38" s="78">
        <f t="shared" si="25"/>
        <v>1.9666286594427134E-2</v>
      </c>
      <c r="AB38" s="78">
        <f t="shared" si="25"/>
        <v>3.3411855466965401E-2</v>
      </c>
      <c r="AC38" s="100">
        <f t="shared" si="16"/>
        <v>9.5227034670647595E-2</v>
      </c>
      <c r="AD38" s="100">
        <f t="shared" si="17"/>
        <v>0.2443058333330661</v>
      </c>
      <c r="AE38" s="118"/>
      <c r="AF38" s="118"/>
      <c r="AG38" s="118"/>
      <c r="AH38" s="118"/>
      <c r="AI38" s="118"/>
      <c r="AJ38" s="118"/>
      <c r="AK38" s="118"/>
      <c r="AL38" s="118"/>
      <c r="AM38" s="118"/>
      <c r="AN38" s="118"/>
      <c r="AO38" s="118"/>
      <c r="AP38" s="118"/>
    </row>
  </sheetData>
  <mergeCells count="6">
    <mergeCell ref="B30:B37"/>
    <mergeCell ref="C4:AB4"/>
    <mergeCell ref="B6:B13"/>
    <mergeCell ref="C16:AB16"/>
    <mergeCell ref="B18:B25"/>
    <mergeCell ref="C28:AB28"/>
  </mergeCells>
  <pageMargins left="0.75" right="0.75" top="1" bottom="1" header="0.5" footer="0.5"/>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38"/>
  <sheetViews>
    <sheetView showGridLines="0" workbookViewId="0">
      <pane xSplit="1" ySplit="5" topLeftCell="G6" activePane="bottomRight" state="frozen"/>
      <selection pane="topRight" activeCell="B1" sqref="B1"/>
      <selection pane="bottomLeft" activeCell="A8" sqref="A8"/>
      <selection pane="bottomRight" activeCell="AE12" sqref="AE12"/>
    </sheetView>
  </sheetViews>
  <sheetFormatPr defaultColWidth="8.85546875" defaultRowHeight="12.75"/>
  <cols>
    <col min="1" max="1" width="8.85546875" style="111" bestFit="1"/>
    <col min="2" max="2" width="16.5703125" style="111" customWidth="1"/>
    <col min="3" max="3" width="11.85546875" style="111" customWidth="1"/>
    <col min="4" max="4" width="13.7109375" style="111" customWidth="1"/>
    <col min="5" max="22" width="9.85546875" style="111" bestFit="1" customWidth="1"/>
    <col min="23" max="28" width="11.140625" style="111" customWidth="1"/>
    <col min="29" max="30" width="9.7109375" style="111" customWidth="1"/>
    <col min="31" max="49" width="8.85546875" style="111" bestFit="1"/>
    <col min="50" max="16384" width="8.85546875" style="111"/>
  </cols>
  <sheetData>
    <row r="1" spans="1:42" ht="15">
      <c r="A1" s="62"/>
      <c r="B1" s="62"/>
      <c r="C1" s="62"/>
      <c r="D1" s="113"/>
    </row>
    <row r="2" spans="1:42">
      <c r="A2" s="114"/>
      <c r="B2" s="114"/>
    </row>
    <row r="3" spans="1:42" ht="15">
      <c r="C3" s="65"/>
      <c r="D3" s="65"/>
      <c r="E3" s="65"/>
      <c r="F3" s="65"/>
      <c r="G3" s="65"/>
      <c r="H3" s="65"/>
      <c r="I3" s="65"/>
      <c r="J3" s="65"/>
      <c r="K3" s="65"/>
      <c r="L3" s="65"/>
      <c r="M3" s="65"/>
      <c r="N3" s="65"/>
      <c r="O3" s="65"/>
      <c r="P3" s="65"/>
      <c r="Q3" s="65"/>
      <c r="R3" s="65"/>
      <c r="S3" s="65"/>
      <c r="T3" s="65"/>
      <c r="U3" s="65"/>
      <c r="V3" s="65"/>
      <c r="W3" s="65"/>
      <c r="X3" s="65"/>
      <c r="Y3" s="65"/>
      <c r="Z3" s="65"/>
      <c r="AA3" s="65"/>
      <c r="AB3" s="65"/>
    </row>
    <row r="4" spans="1:42">
      <c r="A4" s="71"/>
      <c r="B4" s="71"/>
      <c r="C4" s="1910" t="s">
        <v>439</v>
      </c>
      <c r="D4" s="1910"/>
      <c r="E4" s="1910"/>
      <c r="F4" s="1910"/>
      <c r="G4" s="1910"/>
      <c r="H4" s="1910"/>
      <c r="I4" s="1910"/>
      <c r="J4" s="1910"/>
      <c r="K4" s="1910"/>
      <c r="L4" s="1910"/>
      <c r="M4" s="1910"/>
      <c r="N4" s="1910"/>
      <c r="O4" s="1910"/>
      <c r="P4" s="1910"/>
      <c r="Q4" s="1910"/>
      <c r="R4" s="1910"/>
      <c r="S4" s="1910"/>
      <c r="T4" s="1910"/>
      <c r="U4" s="1910"/>
      <c r="V4" s="1910"/>
      <c r="W4" s="1910"/>
      <c r="X4" s="1910"/>
      <c r="Y4" s="1910"/>
      <c r="Z4" s="1910"/>
      <c r="AA4" s="1910"/>
      <c r="AB4" s="1910"/>
      <c r="AC4" s="86"/>
      <c r="AD4" s="86"/>
      <c r="AE4" s="115"/>
      <c r="AF4" s="115"/>
      <c r="AG4" s="115"/>
      <c r="AH4" s="115"/>
      <c r="AI4" s="115"/>
      <c r="AJ4" s="115"/>
      <c r="AK4" s="115"/>
      <c r="AL4" s="115"/>
      <c r="AM4" s="115"/>
      <c r="AN4" s="115"/>
      <c r="AO4" s="115"/>
      <c r="AP4" s="115"/>
    </row>
    <row r="5" spans="1:42">
      <c r="A5" s="71"/>
      <c r="B5" s="71"/>
      <c r="C5" s="72" t="s">
        <v>284</v>
      </c>
      <c r="D5" s="72" t="s">
        <v>285</v>
      </c>
      <c r="E5" s="72" t="s">
        <v>286</v>
      </c>
      <c r="F5" s="72" t="s">
        <v>287</v>
      </c>
      <c r="G5" s="72" t="s">
        <v>288</v>
      </c>
      <c r="H5" s="72" t="s">
        <v>289</v>
      </c>
      <c r="I5" s="72" t="s">
        <v>290</v>
      </c>
      <c r="J5" s="72" t="s">
        <v>291</v>
      </c>
      <c r="K5" s="72" t="s">
        <v>292</v>
      </c>
      <c r="L5" s="72" t="s">
        <v>293</v>
      </c>
      <c r="M5" s="72" t="s">
        <v>294</v>
      </c>
      <c r="N5" s="72" t="s">
        <v>295</v>
      </c>
      <c r="O5" s="72" t="s">
        <v>296</v>
      </c>
      <c r="P5" s="72" t="s">
        <v>297</v>
      </c>
      <c r="Q5" s="72" t="s">
        <v>298</v>
      </c>
      <c r="R5" s="72" t="s">
        <v>299</v>
      </c>
      <c r="S5" s="72" t="s">
        <v>300</v>
      </c>
      <c r="T5" s="72" t="s">
        <v>301</v>
      </c>
      <c r="U5" s="72" t="s">
        <v>302</v>
      </c>
      <c r="V5" s="72" t="s">
        <v>303</v>
      </c>
      <c r="W5" s="72" t="s">
        <v>304</v>
      </c>
      <c r="X5" s="72" t="s">
        <v>305</v>
      </c>
      <c r="Y5" s="72" t="s">
        <v>306</v>
      </c>
      <c r="Z5" s="72" t="s">
        <v>307</v>
      </c>
      <c r="AA5" s="72" t="s">
        <v>308</v>
      </c>
      <c r="AB5" s="72" t="s">
        <v>309</v>
      </c>
      <c r="AC5" s="72" t="s">
        <v>351</v>
      </c>
      <c r="AD5" s="72" t="s">
        <v>352</v>
      </c>
      <c r="AE5" s="72" t="s">
        <v>340</v>
      </c>
      <c r="AF5" s="72" t="s">
        <v>341</v>
      </c>
      <c r="AG5" s="72" t="s">
        <v>342</v>
      </c>
      <c r="AH5" s="72" t="s">
        <v>343</v>
      </c>
      <c r="AI5" s="72" t="s">
        <v>344</v>
      </c>
      <c r="AJ5" s="72" t="s">
        <v>345</v>
      </c>
      <c r="AK5" s="72" t="s">
        <v>346</v>
      </c>
      <c r="AL5" s="72" t="s">
        <v>347</v>
      </c>
      <c r="AM5" s="72" t="s">
        <v>348</v>
      </c>
      <c r="AN5" s="72" t="s">
        <v>349</v>
      </c>
      <c r="AO5" s="72" t="s">
        <v>350</v>
      </c>
      <c r="AP5" s="72" t="s">
        <v>353</v>
      </c>
    </row>
    <row r="6" spans="1:42">
      <c r="A6" s="72" t="s">
        <v>315</v>
      </c>
      <c r="B6" s="1917" t="s">
        <v>339</v>
      </c>
      <c r="C6" s="79"/>
      <c r="D6" s="79"/>
      <c r="E6" s="79"/>
      <c r="F6" s="79"/>
      <c r="G6" s="79"/>
      <c r="H6" s="79"/>
      <c r="I6" s="79"/>
      <c r="J6" s="79"/>
      <c r="K6" s="79"/>
      <c r="L6" s="79"/>
      <c r="M6" s="79"/>
      <c r="N6" s="79"/>
      <c r="O6" s="79"/>
      <c r="P6" s="79"/>
      <c r="Q6" s="79"/>
      <c r="R6" s="79"/>
      <c r="S6" s="79"/>
      <c r="T6" s="79"/>
      <c r="U6" s="79"/>
      <c r="V6" s="79"/>
      <c r="W6" s="119">
        <v>27995000</v>
      </c>
      <c r="X6" s="119">
        <v>28204000</v>
      </c>
      <c r="Y6" s="119">
        <v>28445000</v>
      </c>
      <c r="Z6" s="119">
        <v>26794000</v>
      </c>
      <c r="AA6" s="119">
        <v>28193000</v>
      </c>
      <c r="AB6" s="119">
        <v>28817000</v>
      </c>
      <c r="AC6" s="73">
        <f t="shared" ref="AC6:AC13" si="0">AVERAGE(S6:AB6)</f>
        <v>28074666.666666668</v>
      </c>
      <c r="AD6" s="73">
        <f t="shared" ref="AD6:AD14" si="1">AVERAGE(W6:Y6)</f>
        <v>28214666.666666668</v>
      </c>
      <c r="AE6" s="79"/>
      <c r="AF6" s="79"/>
      <c r="AG6" s="79"/>
      <c r="AH6" s="79"/>
      <c r="AI6" s="79"/>
      <c r="AJ6" s="79"/>
      <c r="AK6" s="79"/>
      <c r="AL6" s="79"/>
      <c r="AM6" s="79"/>
      <c r="AN6" s="79"/>
      <c r="AO6" s="79"/>
      <c r="AP6" s="79"/>
    </row>
    <row r="7" spans="1:42">
      <c r="A7" s="72" t="s">
        <v>310</v>
      </c>
      <c r="B7" s="1918"/>
      <c r="C7" s="79"/>
      <c r="D7" s="79"/>
      <c r="E7" s="79"/>
      <c r="F7" s="79"/>
      <c r="G7" s="79"/>
      <c r="H7" s="79"/>
      <c r="I7" s="79"/>
      <c r="J7" s="79"/>
      <c r="K7" s="79"/>
      <c r="L7" s="79"/>
      <c r="M7" s="79"/>
      <c r="N7" s="79"/>
      <c r="O7" s="79"/>
      <c r="P7" s="79"/>
      <c r="Q7" s="79"/>
      <c r="R7" s="79"/>
      <c r="S7" s="79"/>
      <c r="T7" s="79"/>
      <c r="U7" s="79"/>
      <c r="V7" s="79"/>
      <c r="W7" s="119">
        <v>832582148</v>
      </c>
      <c r="X7" s="119">
        <v>904541076</v>
      </c>
      <c r="Y7" s="119">
        <v>977764900</v>
      </c>
      <c r="Z7" s="119">
        <v>900332650</v>
      </c>
      <c r="AA7" s="119">
        <v>918901111</v>
      </c>
      <c r="AB7" s="119">
        <v>976280686</v>
      </c>
      <c r="AC7" s="73">
        <f t="shared" si="0"/>
        <v>918400428.5</v>
      </c>
      <c r="AD7" s="73">
        <f t="shared" si="1"/>
        <v>904962708</v>
      </c>
      <c r="AE7" s="79"/>
      <c r="AF7" s="79"/>
      <c r="AG7" s="79"/>
      <c r="AH7" s="79"/>
      <c r="AI7" s="79"/>
      <c r="AJ7" s="79"/>
      <c r="AK7" s="79"/>
      <c r="AL7" s="79"/>
      <c r="AM7" s="79"/>
      <c r="AN7" s="79"/>
      <c r="AO7" s="79"/>
      <c r="AP7" s="79"/>
    </row>
    <row r="8" spans="1:42">
      <c r="A8" s="72" t="s">
        <v>317</v>
      </c>
      <c r="B8" s="1918"/>
      <c r="C8" s="79"/>
      <c r="D8" s="79"/>
      <c r="E8" s="79"/>
      <c r="F8" s="79"/>
      <c r="G8" s="79"/>
      <c r="H8" s="79"/>
      <c r="I8" s="79"/>
      <c r="J8" s="79"/>
      <c r="K8" s="79"/>
      <c r="L8" s="79"/>
      <c r="M8" s="79"/>
      <c r="N8" s="79"/>
      <c r="O8" s="79"/>
      <c r="P8" s="79"/>
      <c r="Q8" s="79"/>
      <c r="R8" s="79"/>
      <c r="S8" s="79"/>
      <c r="T8" s="79"/>
      <c r="U8" s="79"/>
      <c r="V8" s="79"/>
      <c r="W8" s="79"/>
      <c r="X8" s="79"/>
      <c r="Y8" s="79"/>
      <c r="Z8" s="79"/>
      <c r="AA8" s="79"/>
      <c r="AB8" s="79"/>
      <c r="AC8" s="73" t="e">
        <f t="shared" si="0"/>
        <v>#DIV/0!</v>
      </c>
      <c r="AD8" s="73" t="e">
        <f t="shared" si="1"/>
        <v>#DIV/0!</v>
      </c>
      <c r="AE8" s="79"/>
      <c r="AF8" s="79"/>
      <c r="AG8" s="79"/>
      <c r="AH8" s="79"/>
      <c r="AI8" s="79"/>
      <c r="AJ8" s="79"/>
      <c r="AK8" s="79"/>
      <c r="AL8" s="79"/>
      <c r="AM8" s="79"/>
      <c r="AN8" s="79"/>
      <c r="AO8" s="79"/>
      <c r="AP8" s="79"/>
    </row>
    <row r="9" spans="1:42">
      <c r="A9" s="72" t="s">
        <v>313</v>
      </c>
      <c r="B9" s="1918"/>
      <c r="C9" s="79"/>
      <c r="D9" s="79"/>
      <c r="E9" s="79"/>
      <c r="F9" s="79"/>
      <c r="G9" s="79"/>
      <c r="H9" s="79"/>
      <c r="I9" s="79"/>
      <c r="J9" s="79"/>
      <c r="K9" s="79"/>
      <c r="L9" s="79"/>
      <c r="M9" s="79"/>
      <c r="N9" s="79"/>
      <c r="O9" s="79"/>
      <c r="P9" s="79"/>
      <c r="Q9" s="79"/>
      <c r="R9" s="79"/>
      <c r="S9" s="79"/>
      <c r="T9" s="79"/>
      <c r="U9" s="79"/>
      <c r="V9" s="79"/>
      <c r="W9" s="119">
        <v>22309710</v>
      </c>
      <c r="X9" s="119">
        <v>22394719</v>
      </c>
      <c r="Y9" s="119">
        <v>22605746</v>
      </c>
      <c r="Z9" s="119">
        <v>21990104</v>
      </c>
      <c r="AA9" s="119">
        <v>21502148</v>
      </c>
      <c r="AB9" s="119">
        <v>22158185</v>
      </c>
      <c r="AC9" s="73">
        <f t="shared" si="0"/>
        <v>22160102</v>
      </c>
      <c r="AD9" s="73">
        <f t="shared" si="1"/>
        <v>22436725</v>
      </c>
      <c r="AE9" s="119">
        <v>22037369</v>
      </c>
      <c r="AF9" s="79"/>
      <c r="AG9" s="79"/>
      <c r="AH9" s="79"/>
      <c r="AI9" s="79"/>
      <c r="AJ9" s="79"/>
      <c r="AK9" s="79"/>
      <c r="AL9" s="79"/>
      <c r="AM9" s="79"/>
      <c r="AN9" s="79"/>
      <c r="AO9" s="79"/>
      <c r="AP9" s="79"/>
    </row>
    <row r="10" spans="1:42">
      <c r="A10" s="72" t="s">
        <v>316</v>
      </c>
      <c r="B10" s="1918"/>
      <c r="C10" s="79"/>
      <c r="D10" s="79"/>
      <c r="E10" s="79"/>
      <c r="F10" s="79"/>
      <c r="G10" s="79"/>
      <c r="H10" s="79"/>
      <c r="I10" s="79"/>
      <c r="J10" s="79"/>
      <c r="K10" s="79"/>
      <c r="L10" s="79"/>
      <c r="M10" s="79"/>
      <c r="N10" s="79"/>
      <c r="O10" s="79"/>
      <c r="P10" s="79"/>
      <c r="Q10" s="79"/>
      <c r="R10" s="79"/>
      <c r="S10" s="79"/>
      <c r="T10" s="79"/>
      <c r="U10" s="79"/>
      <c r="V10" s="79"/>
      <c r="W10" s="79"/>
      <c r="X10" s="79"/>
      <c r="Y10" s="79"/>
      <c r="Z10" s="79"/>
      <c r="AA10" s="79"/>
      <c r="AB10" s="79"/>
      <c r="AC10" s="73" t="e">
        <f t="shared" si="0"/>
        <v>#DIV/0!</v>
      </c>
      <c r="AD10" s="73" t="e">
        <f t="shared" si="1"/>
        <v>#DIV/0!</v>
      </c>
      <c r="AE10" s="79"/>
      <c r="AF10" s="79"/>
      <c r="AG10" s="79"/>
      <c r="AH10" s="79"/>
      <c r="AI10" s="79"/>
      <c r="AJ10" s="79"/>
      <c r="AK10" s="79"/>
      <c r="AL10" s="79"/>
      <c r="AM10" s="79"/>
      <c r="AN10" s="79"/>
      <c r="AO10" s="79"/>
      <c r="AP10" s="79"/>
    </row>
    <row r="11" spans="1:42">
      <c r="A11" s="72" t="s">
        <v>312</v>
      </c>
      <c r="B11" s="1918"/>
      <c r="C11" s="79"/>
      <c r="D11" s="79"/>
      <c r="E11" s="79"/>
      <c r="F11" s="79"/>
      <c r="G11" s="79"/>
      <c r="H11" s="79"/>
      <c r="I11" s="79"/>
      <c r="J11" s="79"/>
      <c r="K11" s="79"/>
      <c r="L11" s="79"/>
      <c r="M11" s="79"/>
      <c r="N11" s="79"/>
      <c r="O11" s="79"/>
      <c r="P11" s="79"/>
      <c r="Q11" s="79"/>
      <c r="R11" s="79"/>
      <c r="S11" s="79"/>
      <c r="T11" s="79"/>
      <c r="U11" s="79"/>
      <c r="V11" s="79"/>
      <c r="W11" s="119">
        <v>21835676</v>
      </c>
      <c r="X11" s="119">
        <v>22039193</v>
      </c>
      <c r="Y11" s="119">
        <v>22115666</v>
      </c>
      <c r="Z11" s="119">
        <v>20322512</v>
      </c>
      <c r="AA11" s="119">
        <v>21521505</v>
      </c>
      <c r="AB11" s="119">
        <v>21498241</v>
      </c>
      <c r="AC11" s="73">
        <f t="shared" si="0"/>
        <v>21555465.5</v>
      </c>
      <c r="AD11" s="73">
        <f t="shared" si="1"/>
        <v>21996845</v>
      </c>
      <c r="AE11" s="79"/>
      <c r="AF11" s="79"/>
      <c r="AG11" s="79"/>
      <c r="AH11" s="79"/>
      <c r="AI11" s="79"/>
      <c r="AJ11" s="79"/>
      <c r="AK11" s="79"/>
      <c r="AL11" s="79"/>
      <c r="AM11" s="79"/>
      <c r="AN11" s="79"/>
      <c r="AO11" s="79"/>
      <c r="AP11" s="79"/>
    </row>
    <row r="12" spans="1:42">
      <c r="A12" s="72" t="s">
        <v>311</v>
      </c>
      <c r="B12" s="1918"/>
      <c r="C12" s="79"/>
      <c r="D12" s="79"/>
      <c r="E12" s="79"/>
      <c r="F12" s="79"/>
      <c r="G12" s="79"/>
      <c r="H12" s="79"/>
      <c r="I12" s="79"/>
      <c r="J12" s="79"/>
      <c r="K12" s="79"/>
      <c r="L12" s="79"/>
      <c r="M12" s="79"/>
      <c r="N12" s="79"/>
      <c r="O12" s="79"/>
      <c r="P12" s="79"/>
      <c r="Q12" s="79"/>
      <c r="R12" s="79"/>
      <c r="S12" s="79"/>
      <c r="T12" s="79"/>
      <c r="U12" s="79"/>
      <c r="V12" s="79"/>
      <c r="W12" s="119">
        <v>19607552</v>
      </c>
      <c r="X12" s="119">
        <v>19714743</v>
      </c>
      <c r="Y12" s="119">
        <v>19785071</v>
      </c>
      <c r="Z12" s="119">
        <v>18132797</v>
      </c>
      <c r="AA12" s="119">
        <v>18579005</v>
      </c>
      <c r="AB12" s="119">
        <v>19219648</v>
      </c>
      <c r="AC12" s="73">
        <f t="shared" si="0"/>
        <v>19173136</v>
      </c>
      <c r="AD12" s="73">
        <f t="shared" si="1"/>
        <v>19702455.333333332</v>
      </c>
      <c r="AE12" s="119">
        <v>17690984</v>
      </c>
      <c r="AF12" s="79"/>
      <c r="AG12" s="79"/>
      <c r="AH12" s="79"/>
      <c r="AI12" s="79"/>
      <c r="AJ12" s="79"/>
      <c r="AK12" s="79"/>
      <c r="AL12" s="79"/>
      <c r="AM12" s="79"/>
      <c r="AN12" s="79"/>
      <c r="AO12" s="79"/>
      <c r="AP12" s="79"/>
    </row>
    <row r="13" spans="1:42">
      <c r="A13" s="72" t="s">
        <v>314</v>
      </c>
      <c r="B13" s="1919"/>
      <c r="C13" s="79"/>
      <c r="D13" s="79"/>
      <c r="E13" s="79"/>
      <c r="F13" s="79"/>
      <c r="G13" s="79"/>
      <c r="H13" s="79"/>
      <c r="I13" s="79"/>
      <c r="J13" s="79"/>
      <c r="K13" s="79"/>
      <c r="L13" s="79"/>
      <c r="M13" s="79"/>
      <c r="N13" s="79"/>
      <c r="O13" s="79"/>
      <c r="P13" s="79"/>
      <c r="Q13" s="79"/>
      <c r="R13" s="79"/>
      <c r="S13" s="79"/>
      <c r="T13" s="79"/>
      <c r="U13" s="79"/>
      <c r="V13" s="79"/>
      <c r="W13" s="79"/>
      <c r="X13" s="79"/>
      <c r="Y13" s="119">
        <v>26258755</v>
      </c>
      <c r="Z13" s="119">
        <v>24740964</v>
      </c>
      <c r="AA13" s="119">
        <v>24851461</v>
      </c>
      <c r="AB13" s="119">
        <v>25622649</v>
      </c>
      <c r="AC13" s="73">
        <f t="shared" si="0"/>
        <v>25368457.25</v>
      </c>
      <c r="AD13" s="73">
        <f t="shared" si="1"/>
        <v>26258755</v>
      </c>
      <c r="AE13" s="119">
        <v>26418695</v>
      </c>
      <c r="AF13" s="79"/>
      <c r="AG13" s="79"/>
      <c r="AH13" s="79"/>
      <c r="AI13" s="79"/>
      <c r="AJ13" s="79"/>
      <c r="AK13" s="79"/>
      <c r="AL13" s="79"/>
      <c r="AM13" s="79"/>
      <c r="AN13" s="79"/>
      <c r="AO13" s="79"/>
      <c r="AP13" s="79"/>
    </row>
    <row r="14" spans="1:42" s="112" customFormat="1">
      <c r="A14" s="74" t="s">
        <v>203</v>
      </c>
      <c r="B14" s="74"/>
      <c r="C14" s="80">
        <f t="shared" ref="C14:AC14" si="2">SUM(C6:C13)</f>
        <v>0</v>
      </c>
      <c r="D14" s="80">
        <f t="shared" si="2"/>
        <v>0</v>
      </c>
      <c r="E14" s="80">
        <f t="shared" si="2"/>
        <v>0</v>
      </c>
      <c r="F14" s="80">
        <f t="shared" si="2"/>
        <v>0</v>
      </c>
      <c r="G14" s="80">
        <f t="shared" si="2"/>
        <v>0</v>
      </c>
      <c r="H14" s="80">
        <f t="shared" si="2"/>
        <v>0</v>
      </c>
      <c r="I14" s="80">
        <f t="shared" si="2"/>
        <v>0</v>
      </c>
      <c r="J14" s="80">
        <f t="shared" si="2"/>
        <v>0</v>
      </c>
      <c r="K14" s="80">
        <f t="shared" si="2"/>
        <v>0</v>
      </c>
      <c r="L14" s="80">
        <f t="shared" si="2"/>
        <v>0</v>
      </c>
      <c r="M14" s="80">
        <f t="shared" si="2"/>
        <v>0</v>
      </c>
      <c r="N14" s="80">
        <f t="shared" si="2"/>
        <v>0</v>
      </c>
      <c r="O14" s="80">
        <f t="shared" si="2"/>
        <v>0</v>
      </c>
      <c r="P14" s="80">
        <f t="shared" si="2"/>
        <v>0</v>
      </c>
      <c r="Q14" s="80">
        <f t="shared" si="2"/>
        <v>0</v>
      </c>
      <c r="R14" s="80">
        <f t="shared" si="2"/>
        <v>0</v>
      </c>
      <c r="S14" s="80">
        <f t="shared" si="2"/>
        <v>0</v>
      </c>
      <c r="T14" s="80">
        <f t="shared" si="2"/>
        <v>0</v>
      </c>
      <c r="U14" s="80">
        <f t="shared" si="2"/>
        <v>0</v>
      </c>
      <c r="V14" s="80">
        <f t="shared" si="2"/>
        <v>0</v>
      </c>
      <c r="W14" s="80">
        <f t="shared" si="2"/>
        <v>924330086</v>
      </c>
      <c r="X14" s="80">
        <f t="shared" si="2"/>
        <v>996893731</v>
      </c>
      <c r="Y14" s="80">
        <f t="shared" si="2"/>
        <v>1096975138</v>
      </c>
      <c r="Z14" s="80">
        <f t="shared" si="2"/>
        <v>1012313027</v>
      </c>
      <c r="AA14" s="80">
        <f t="shared" si="2"/>
        <v>1033548230</v>
      </c>
      <c r="AB14" s="80">
        <f t="shared" si="2"/>
        <v>1093596409</v>
      </c>
      <c r="AC14" s="75" t="e">
        <f t="shared" si="2"/>
        <v>#DIV/0!</v>
      </c>
      <c r="AD14" s="101">
        <f t="shared" si="1"/>
        <v>1006066318.3333334</v>
      </c>
      <c r="AE14" s="79"/>
      <c r="AF14" s="79"/>
      <c r="AG14" s="79"/>
      <c r="AH14" s="79"/>
      <c r="AI14" s="79"/>
      <c r="AJ14" s="79"/>
      <c r="AK14" s="79"/>
      <c r="AL14" s="79"/>
      <c r="AM14" s="79"/>
      <c r="AN14" s="79"/>
      <c r="AO14" s="79"/>
      <c r="AP14" s="79"/>
    </row>
    <row r="16" spans="1:42">
      <c r="A16" s="71"/>
      <c r="B16" s="71"/>
      <c r="C16" s="1910" t="s">
        <v>440</v>
      </c>
      <c r="D16" s="1910"/>
      <c r="E16" s="1910"/>
      <c r="F16" s="1910"/>
      <c r="G16" s="1910"/>
      <c r="H16" s="1910"/>
      <c r="I16" s="1910"/>
      <c r="J16" s="1910"/>
      <c r="K16" s="1910"/>
      <c r="L16" s="1910"/>
      <c r="M16" s="1910"/>
      <c r="N16" s="1910"/>
      <c r="O16" s="1910"/>
      <c r="P16" s="1910"/>
      <c r="Q16" s="1910"/>
      <c r="R16" s="1910"/>
      <c r="S16" s="1910"/>
      <c r="T16" s="1910"/>
      <c r="U16" s="1910"/>
      <c r="V16" s="1910"/>
      <c r="W16" s="1910"/>
      <c r="X16" s="1910"/>
      <c r="Y16" s="1910"/>
      <c r="Z16" s="1910"/>
      <c r="AA16" s="1910"/>
      <c r="AB16" s="1910"/>
      <c r="AC16" s="86"/>
      <c r="AD16" s="86"/>
      <c r="AE16" s="115"/>
      <c r="AF16" s="115"/>
      <c r="AG16" s="115"/>
      <c r="AH16" s="115"/>
      <c r="AI16" s="115"/>
      <c r="AJ16" s="115"/>
      <c r="AK16" s="115"/>
      <c r="AL16" s="115"/>
      <c r="AM16" s="115"/>
      <c r="AN16" s="115"/>
      <c r="AO16" s="115"/>
      <c r="AP16" s="115"/>
    </row>
    <row r="17" spans="1:42">
      <c r="A17" s="71"/>
      <c r="B17" s="71"/>
      <c r="C17" s="72" t="s">
        <v>284</v>
      </c>
      <c r="D17" s="72" t="s">
        <v>285</v>
      </c>
      <c r="E17" s="72" t="s">
        <v>286</v>
      </c>
      <c r="F17" s="72" t="s">
        <v>287</v>
      </c>
      <c r="G17" s="72" t="s">
        <v>288</v>
      </c>
      <c r="H17" s="72" t="s">
        <v>289</v>
      </c>
      <c r="I17" s="72" t="s">
        <v>290</v>
      </c>
      <c r="J17" s="72" t="s">
        <v>291</v>
      </c>
      <c r="K17" s="72" t="s">
        <v>292</v>
      </c>
      <c r="L17" s="72" t="s">
        <v>293</v>
      </c>
      <c r="M17" s="72" t="s">
        <v>294</v>
      </c>
      <c r="N17" s="72" t="s">
        <v>295</v>
      </c>
      <c r="O17" s="72" t="s">
        <v>296</v>
      </c>
      <c r="P17" s="72" t="s">
        <v>297</v>
      </c>
      <c r="Q17" s="72" t="s">
        <v>298</v>
      </c>
      <c r="R17" s="72" t="s">
        <v>299</v>
      </c>
      <c r="S17" s="72" t="s">
        <v>300</v>
      </c>
      <c r="T17" s="72" t="s">
        <v>301</v>
      </c>
      <c r="U17" s="72" t="s">
        <v>302</v>
      </c>
      <c r="V17" s="72" t="s">
        <v>303</v>
      </c>
      <c r="W17" s="72" t="s">
        <v>304</v>
      </c>
      <c r="X17" s="72" t="s">
        <v>305</v>
      </c>
      <c r="Y17" s="72" t="s">
        <v>306</v>
      </c>
      <c r="Z17" s="72" t="s">
        <v>307</v>
      </c>
      <c r="AA17" s="72" t="s">
        <v>308</v>
      </c>
      <c r="AB17" s="72" t="s">
        <v>309</v>
      </c>
      <c r="AC17" s="72" t="s">
        <v>351</v>
      </c>
      <c r="AD17" s="72" t="s">
        <v>352</v>
      </c>
      <c r="AE17" s="72" t="s">
        <v>340</v>
      </c>
      <c r="AF17" s="72" t="s">
        <v>341</v>
      </c>
      <c r="AG17" s="72" t="s">
        <v>342</v>
      </c>
      <c r="AH17" s="72" t="s">
        <v>343</v>
      </c>
      <c r="AI17" s="72" t="s">
        <v>344</v>
      </c>
      <c r="AJ17" s="72" t="s">
        <v>345</v>
      </c>
      <c r="AK17" s="72" t="s">
        <v>346</v>
      </c>
      <c r="AL17" s="72" t="s">
        <v>347</v>
      </c>
      <c r="AM17" s="72" t="s">
        <v>348</v>
      </c>
      <c r="AN17" s="72" t="s">
        <v>349</v>
      </c>
      <c r="AO17" s="72" t="s">
        <v>350</v>
      </c>
      <c r="AP17" s="72" t="s">
        <v>353</v>
      </c>
    </row>
    <row r="18" spans="1:42">
      <c r="A18" s="72" t="s">
        <v>315</v>
      </c>
      <c r="B18" s="1917" t="s">
        <v>339</v>
      </c>
      <c r="C18" s="76"/>
      <c r="D18" s="76">
        <f t="shared" ref="D18:V18" si="3">D6-C6</f>
        <v>0</v>
      </c>
      <c r="E18" s="76">
        <f t="shared" si="3"/>
        <v>0</v>
      </c>
      <c r="F18" s="76">
        <f t="shared" si="3"/>
        <v>0</v>
      </c>
      <c r="G18" s="76">
        <f t="shared" si="3"/>
        <v>0</v>
      </c>
      <c r="H18" s="76">
        <f t="shared" si="3"/>
        <v>0</v>
      </c>
      <c r="I18" s="76">
        <f t="shared" si="3"/>
        <v>0</v>
      </c>
      <c r="J18" s="76">
        <f t="shared" si="3"/>
        <v>0</v>
      </c>
      <c r="K18" s="76">
        <f t="shared" si="3"/>
        <v>0</v>
      </c>
      <c r="L18" s="76">
        <f t="shared" si="3"/>
        <v>0</v>
      </c>
      <c r="M18" s="76">
        <f t="shared" si="3"/>
        <v>0</v>
      </c>
      <c r="N18" s="76">
        <f t="shared" si="3"/>
        <v>0</v>
      </c>
      <c r="O18" s="76">
        <f t="shared" si="3"/>
        <v>0</v>
      </c>
      <c r="P18" s="76">
        <f t="shared" si="3"/>
        <v>0</v>
      </c>
      <c r="Q18" s="76">
        <f t="shared" si="3"/>
        <v>0</v>
      </c>
      <c r="R18" s="76">
        <f t="shared" si="3"/>
        <v>0</v>
      </c>
      <c r="S18" s="76">
        <f t="shared" si="3"/>
        <v>0</v>
      </c>
      <c r="T18" s="76">
        <f t="shared" si="3"/>
        <v>0</v>
      </c>
      <c r="U18" s="76">
        <f t="shared" si="3"/>
        <v>0</v>
      </c>
      <c r="V18" s="76">
        <f t="shared" si="3"/>
        <v>0</v>
      </c>
      <c r="W18" s="76"/>
      <c r="X18" s="76">
        <f t="shared" ref="X18:AB25" si="4">X6-W6</f>
        <v>209000</v>
      </c>
      <c r="Y18" s="76">
        <f t="shared" si="4"/>
        <v>241000</v>
      </c>
      <c r="Z18" s="76">
        <f t="shared" si="4"/>
        <v>-1651000</v>
      </c>
      <c r="AA18" s="76">
        <f t="shared" si="4"/>
        <v>1399000</v>
      </c>
      <c r="AB18" s="76">
        <f t="shared" si="4"/>
        <v>624000</v>
      </c>
      <c r="AC18" s="73">
        <f t="shared" ref="AC18:AC25" si="5">AVERAGE(S18:AB18)</f>
        <v>91333.333333333328</v>
      </c>
      <c r="AD18" s="73">
        <f t="shared" ref="AD18:AD26" si="6">AVERAGE(W18:Y18)</f>
        <v>225000</v>
      </c>
      <c r="AE18" s="79"/>
      <c r="AF18" s="79"/>
      <c r="AG18" s="79"/>
      <c r="AH18" s="79"/>
      <c r="AI18" s="79"/>
      <c r="AJ18" s="79"/>
      <c r="AK18" s="79"/>
      <c r="AL18" s="79"/>
      <c r="AM18" s="79"/>
      <c r="AN18" s="79"/>
      <c r="AO18" s="79"/>
      <c r="AP18" s="79"/>
    </row>
    <row r="19" spans="1:42">
      <c r="A19" s="72" t="s">
        <v>310</v>
      </c>
      <c r="B19" s="1918"/>
      <c r="C19" s="76"/>
      <c r="D19" s="76">
        <f t="shared" ref="D19:V19" si="7">D7-C7</f>
        <v>0</v>
      </c>
      <c r="E19" s="76">
        <f t="shared" si="7"/>
        <v>0</v>
      </c>
      <c r="F19" s="76">
        <f t="shared" si="7"/>
        <v>0</v>
      </c>
      <c r="G19" s="76">
        <f t="shared" si="7"/>
        <v>0</v>
      </c>
      <c r="H19" s="76">
        <f t="shared" si="7"/>
        <v>0</v>
      </c>
      <c r="I19" s="76">
        <f t="shared" si="7"/>
        <v>0</v>
      </c>
      <c r="J19" s="76">
        <f t="shared" si="7"/>
        <v>0</v>
      </c>
      <c r="K19" s="76">
        <f t="shared" si="7"/>
        <v>0</v>
      </c>
      <c r="L19" s="76">
        <f t="shared" si="7"/>
        <v>0</v>
      </c>
      <c r="M19" s="76">
        <f t="shared" si="7"/>
        <v>0</v>
      </c>
      <c r="N19" s="76">
        <f t="shared" si="7"/>
        <v>0</v>
      </c>
      <c r="O19" s="76">
        <f t="shared" si="7"/>
        <v>0</v>
      </c>
      <c r="P19" s="76">
        <f t="shared" si="7"/>
        <v>0</v>
      </c>
      <c r="Q19" s="76">
        <f t="shared" si="7"/>
        <v>0</v>
      </c>
      <c r="R19" s="76">
        <f t="shared" si="7"/>
        <v>0</v>
      </c>
      <c r="S19" s="76">
        <f t="shared" si="7"/>
        <v>0</v>
      </c>
      <c r="T19" s="76">
        <f t="shared" si="7"/>
        <v>0</v>
      </c>
      <c r="U19" s="76">
        <f t="shared" si="7"/>
        <v>0</v>
      </c>
      <c r="V19" s="76">
        <f t="shared" si="7"/>
        <v>0</v>
      </c>
      <c r="W19" s="76"/>
      <c r="X19" s="76">
        <f t="shared" si="4"/>
        <v>71958928</v>
      </c>
      <c r="Y19" s="76">
        <f t="shared" si="4"/>
        <v>73223824</v>
      </c>
      <c r="Z19" s="76">
        <f t="shared" si="4"/>
        <v>-77432250</v>
      </c>
      <c r="AA19" s="76">
        <f t="shared" si="4"/>
        <v>18568461</v>
      </c>
      <c r="AB19" s="76">
        <f t="shared" si="4"/>
        <v>57379575</v>
      </c>
      <c r="AC19" s="73">
        <f t="shared" si="5"/>
        <v>15966504.222222222</v>
      </c>
      <c r="AD19" s="73">
        <f t="shared" si="6"/>
        <v>72591376</v>
      </c>
      <c r="AE19" s="79"/>
      <c r="AF19" s="79"/>
      <c r="AG19" s="79"/>
      <c r="AH19" s="79"/>
      <c r="AI19" s="79"/>
      <c r="AJ19" s="79"/>
      <c r="AK19" s="79"/>
      <c r="AL19" s="79"/>
      <c r="AM19" s="79"/>
      <c r="AN19" s="79"/>
      <c r="AO19" s="79"/>
      <c r="AP19" s="79"/>
    </row>
    <row r="20" spans="1:42">
      <c r="A20" s="72" t="s">
        <v>317</v>
      </c>
      <c r="B20" s="1918"/>
      <c r="C20" s="76"/>
      <c r="D20" s="76">
        <f t="shared" ref="D20:V20" si="8">D8-C8</f>
        <v>0</v>
      </c>
      <c r="E20" s="76">
        <f t="shared" si="8"/>
        <v>0</v>
      </c>
      <c r="F20" s="76">
        <f t="shared" si="8"/>
        <v>0</v>
      </c>
      <c r="G20" s="76">
        <f t="shared" si="8"/>
        <v>0</v>
      </c>
      <c r="H20" s="76">
        <f t="shared" si="8"/>
        <v>0</v>
      </c>
      <c r="I20" s="76">
        <f t="shared" si="8"/>
        <v>0</v>
      </c>
      <c r="J20" s="76">
        <f t="shared" si="8"/>
        <v>0</v>
      </c>
      <c r="K20" s="76">
        <f t="shared" si="8"/>
        <v>0</v>
      </c>
      <c r="L20" s="76">
        <f t="shared" si="8"/>
        <v>0</v>
      </c>
      <c r="M20" s="76">
        <f t="shared" si="8"/>
        <v>0</v>
      </c>
      <c r="N20" s="76">
        <f t="shared" si="8"/>
        <v>0</v>
      </c>
      <c r="O20" s="76">
        <f t="shared" si="8"/>
        <v>0</v>
      </c>
      <c r="P20" s="76">
        <f t="shared" si="8"/>
        <v>0</v>
      </c>
      <c r="Q20" s="76">
        <f t="shared" si="8"/>
        <v>0</v>
      </c>
      <c r="R20" s="76">
        <f t="shared" si="8"/>
        <v>0</v>
      </c>
      <c r="S20" s="76">
        <f t="shared" si="8"/>
        <v>0</v>
      </c>
      <c r="T20" s="76">
        <f t="shared" si="8"/>
        <v>0</v>
      </c>
      <c r="U20" s="76">
        <f t="shared" si="8"/>
        <v>0</v>
      </c>
      <c r="V20" s="76">
        <f t="shared" si="8"/>
        <v>0</v>
      </c>
      <c r="W20" s="76">
        <f>W8-V8</f>
        <v>0</v>
      </c>
      <c r="X20" s="76">
        <f t="shared" si="4"/>
        <v>0</v>
      </c>
      <c r="Y20" s="76">
        <f t="shared" si="4"/>
        <v>0</v>
      </c>
      <c r="Z20" s="76">
        <f t="shared" si="4"/>
        <v>0</v>
      </c>
      <c r="AA20" s="76">
        <f t="shared" si="4"/>
        <v>0</v>
      </c>
      <c r="AB20" s="76">
        <f t="shared" si="4"/>
        <v>0</v>
      </c>
      <c r="AC20" s="73">
        <f t="shared" si="5"/>
        <v>0</v>
      </c>
      <c r="AD20" s="73">
        <f t="shared" si="6"/>
        <v>0</v>
      </c>
      <c r="AE20" s="79"/>
      <c r="AF20" s="79"/>
      <c r="AG20" s="79"/>
      <c r="AH20" s="79"/>
      <c r="AI20" s="79"/>
      <c r="AJ20" s="79"/>
      <c r="AK20" s="79"/>
      <c r="AL20" s="79"/>
      <c r="AM20" s="79"/>
      <c r="AN20" s="79"/>
      <c r="AO20" s="79"/>
      <c r="AP20" s="79"/>
    </row>
    <row r="21" spans="1:42">
      <c r="A21" s="72" t="s">
        <v>313</v>
      </c>
      <c r="B21" s="1918"/>
      <c r="C21" s="76"/>
      <c r="D21" s="76">
        <f t="shared" ref="D21:V21" si="9">D9-C9</f>
        <v>0</v>
      </c>
      <c r="E21" s="76">
        <f t="shared" si="9"/>
        <v>0</v>
      </c>
      <c r="F21" s="76">
        <f t="shared" si="9"/>
        <v>0</v>
      </c>
      <c r="G21" s="76">
        <f t="shared" si="9"/>
        <v>0</v>
      </c>
      <c r="H21" s="76">
        <f t="shared" si="9"/>
        <v>0</v>
      </c>
      <c r="I21" s="76">
        <f t="shared" si="9"/>
        <v>0</v>
      </c>
      <c r="J21" s="76">
        <f t="shared" si="9"/>
        <v>0</v>
      </c>
      <c r="K21" s="76">
        <f t="shared" si="9"/>
        <v>0</v>
      </c>
      <c r="L21" s="76">
        <f t="shared" si="9"/>
        <v>0</v>
      </c>
      <c r="M21" s="76">
        <f t="shared" si="9"/>
        <v>0</v>
      </c>
      <c r="N21" s="76">
        <f t="shared" si="9"/>
        <v>0</v>
      </c>
      <c r="O21" s="76">
        <f t="shared" si="9"/>
        <v>0</v>
      </c>
      <c r="P21" s="76">
        <f t="shared" si="9"/>
        <v>0</v>
      </c>
      <c r="Q21" s="76">
        <f t="shared" si="9"/>
        <v>0</v>
      </c>
      <c r="R21" s="76">
        <f t="shared" si="9"/>
        <v>0</v>
      </c>
      <c r="S21" s="76">
        <f t="shared" si="9"/>
        <v>0</v>
      </c>
      <c r="T21" s="76">
        <f t="shared" si="9"/>
        <v>0</v>
      </c>
      <c r="U21" s="76">
        <f t="shared" si="9"/>
        <v>0</v>
      </c>
      <c r="V21" s="76">
        <f t="shared" si="9"/>
        <v>0</v>
      </c>
      <c r="W21" s="76">
        <f>W9-V9</f>
        <v>22309710</v>
      </c>
      <c r="X21" s="76">
        <f t="shared" si="4"/>
        <v>85009</v>
      </c>
      <c r="Y21" s="76">
        <f t="shared" si="4"/>
        <v>211027</v>
      </c>
      <c r="Z21" s="76">
        <f t="shared" si="4"/>
        <v>-615642</v>
      </c>
      <c r="AA21" s="76">
        <f t="shared" si="4"/>
        <v>-487956</v>
      </c>
      <c r="AB21" s="76">
        <f t="shared" si="4"/>
        <v>656037</v>
      </c>
      <c r="AC21" s="73">
        <f t="shared" si="5"/>
        <v>2215818.5</v>
      </c>
      <c r="AD21" s="73">
        <f t="shared" si="6"/>
        <v>7535248.666666667</v>
      </c>
      <c r="AE21" s="79"/>
      <c r="AF21" s="79"/>
      <c r="AG21" s="79"/>
      <c r="AH21" s="79"/>
      <c r="AI21" s="79"/>
      <c r="AJ21" s="79"/>
      <c r="AK21" s="79"/>
      <c r="AL21" s="79"/>
      <c r="AM21" s="79"/>
      <c r="AN21" s="79"/>
      <c r="AO21" s="79"/>
      <c r="AP21" s="79"/>
    </row>
    <row r="22" spans="1:42">
      <c r="A22" s="72" t="s">
        <v>316</v>
      </c>
      <c r="B22" s="1918"/>
      <c r="C22" s="76"/>
      <c r="D22" s="76">
        <f t="shared" ref="D22:V22" si="10">D10-C10</f>
        <v>0</v>
      </c>
      <c r="E22" s="76">
        <f t="shared" si="10"/>
        <v>0</v>
      </c>
      <c r="F22" s="76">
        <f t="shared" si="10"/>
        <v>0</v>
      </c>
      <c r="G22" s="76">
        <f t="shared" si="10"/>
        <v>0</v>
      </c>
      <c r="H22" s="76">
        <f t="shared" si="10"/>
        <v>0</v>
      </c>
      <c r="I22" s="76">
        <f t="shared" si="10"/>
        <v>0</v>
      </c>
      <c r="J22" s="76">
        <f t="shared" si="10"/>
        <v>0</v>
      </c>
      <c r="K22" s="76">
        <f t="shared" si="10"/>
        <v>0</v>
      </c>
      <c r="L22" s="76">
        <f t="shared" si="10"/>
        <v>0</v>
      </c>
      <c r="M22" s="76">
        <f t="shared" si="10"/>
        <v>0</v>
      </c>
      <c r="N22" s="76">
        <f t="shared" si="10"/>
        <v>0</v>
      </c>
      <c r="O22" s="76">
        <f t="shared" si="10"/>
        <v>0</v>
      </c>
      <c r="P22" s="76">
        <f t="shared" si="10"/>
        <v>0</v>
      </c>
      <c r="Q22" s="76">
        <f t="shared" si="10"/>
        <v>0</v>
      </c>
      <c r="R22" s="76">
        <f t="shared" si="10"/>
        <v>0</v>
      </c>
      <c r="S22" s="76">
        <f t="shared" si="10"/>
        <v>0</v>
      </c>
      <c r="T22" s="76">
        <f t="shared" si="10"/>
        <v>0</v>
      </c>
      <c r="U22" s="76">
        <f t="shared" si="10"/>
        <v>0</v>
      </c>
      <c r="V22" s="76">
        <f t="shared" si="10"/>
        <v>0</v>
      </c>
      <c r="W22" s="76">
        <f>W10-V10</f>
        <v>0</v>
      </c>
      <c r="X22" s="76">
        <f t="shared" si="4"/>
        <v>0</v>
      </c>
      <c r="Y22" s="76">
        <f t="shared" si="4"/>
        <v>0</v>
      </c>
      <c r="Z22" s="76">
        <f t="shared" si="4"/>
        <v>0</v>
      </c>
      <c r="AA22" s="76">
        <f t="shared" si="4"/>
        <v>0</v>
      </c>
      <c r="AB22" s="76">
        <f t="shared" si="4"/>
        <v>0</v>
      </c>
      <c r="AC22" s="73">
        <f t="shared" si="5"/>
        <v>0</v>
      </c>
      <c r="AD22" s="73">
        <f t="shared" si="6"/>
        <v>0</v>
      </c>
      <c r="AE22" s="79"/>
      <c r="AF22" s="79"/>
      <c r="AG22" s="79"/>
      <c r="AH22" s="79"/>
      <c r="AI22" s="79"/>
      <c r="AJ22" s="79"/>
      <c r="AK22" s="79"/>
      <c r="AL22" s="79"/>
      <c r="AM22" s="79"/>
      <c r="AN22" s="79"/>
      <c r="AO22" s="79"/>
      <c r="AP22" s="79"/>
    </row>
    <row r="23" spans="1:42">
      <c r="A23" s="72" t="s">
        <v>312</v>
      </c>
      <c r="B23" s="1918"/>
      <c r="C23" s="76"/>
      <c r="D23" s="76">
        <f t="shared" ref="D23:V23" si="11">D11-C11</f>
        <v>0</v>
      </c>
      <c r="E23" s="76">
        <f t="shared" si="11"/>
        <v>0</v>
      </c>
      <c r="F23" s="76">
        <f t="shared" si="11"/>
        <v>0</v>
      </c>
      <c r="G23" s="76">
        <f t="shared" si="11"/>
        <v>0</v>
      </c>
      <c r="H23" s="76">
        <f t="shared" si="11"/>
        <v>0</v>
      </c>
      <c r="I23" s="76">
        <f t="shared" si="11"/>
        <v>0</v>
      </c>
      <c r="J23" s="76">
        <f t="shared" si="11"/>
        <v>0</v>
      </c>
      <c r="K23" s="76">
        <f t="shared" si="11"/>
        <v>0</v>
      </c>
      <c r="L23" s="76">
        <f t="shared" si="11"/>
        <v>0</v>
      </c>
      <c r="M23" s="76">
        <f t="shared" si="11"/>
        <v>0</v>
      </c>
      <c r="N23" s="76">
        <f t="shared" si="11"/>
        <v>0</v>
      </c>
      <c r="O23" s="76">
        <f t="shared" si="11"/>
        <v>0</v>
      </c>
      <c r="P23" s="76">
        <f t="shared" si="11"/>
        <v>0</v>
      </c>
      <c r="Q23" s="76">
        <f t="shared" si="11"/>
        <v>0</v>
      </c>
      <c r="R23" s="76">
        <f t="shared" si="11"/>
        <v>0</v>
      </c>
      <c r="S23" s="76">
        <f t="shared" si="11"/>
        <v>0</v>
      </c>
      <c r="T23" s="76">
        <f t="shared" si="11"/>
        <v>0</v>
      </c>
      <c r="U23" s="76">
        <f t="shared" si="11"/>
        <v>0</v>
      </c>
      <c r="V23" s="76">
        <f t="shared" si="11"/>
        <v>0</v>
      </c>
      <c r="W23" s="76"/>
      <c r="X23" s="76">
        <f t="shared" si="4"/>
        <v>203517</v>
      </c>
      <c r="Y23" s="76">
        <f t="shared" si="4"/>
        <v>76473</v>
      </c>
      <c r="Z23" s="76">
        <f t="shared" si="4"/>
        <v>-1793154</v>
      </c>
      <c r="AA23" s="76">
        <f t="shared" si="4"/>
        <v>1198993</v>
      </c>
      <c r="AB23" s="76">
        <f t="shared" si="4"/>
        <v>-23264</v>
      </c>
      <c r="AC23" s="73">
        <f t="shared" si="5"/>
        <v>-37492.777777777781</v>
      </c>
      <c r="AD23" s="73">
        <f t="shared" si="6"/>
        <v>139995</v>
      </c>
      <c r="AE23" s="79"/>
      <c r="AF23" s="79"/>
      <c r="AG23" s="79"/>
      <c r="AH23" s="79"/>
      <c r="AI23" s="79"/>
      <c r="AJ23" s="79"/>
      <c r="AK23" s="79"/>
      <c r="AL23" s="79"/>
      <c r="AM23" s="79"/>
      <c r="AN23" s="79"/>
      <c r="AO23" s="79"/>
      <c r="AP23" s="79"/>
    </row>
    <row r="24" spans="1:42">
      <c r="A24" s="72" t="s">
        <v>311</v>
      </c>
      <c r="B24" s="1918"/>
      <c r="C24" s="76"/>
      <c r="D24" s="76">
        <f t="shared" ref="D24:V24" si="12">D12-C12</f>
        <v>0</v>
      </c>
      <c r="E24" s="76">
        <f t="shared" si="12"/>
        <v>0</v>
      </c>
      <c r="F24" s="76">
        <f t="shared" si="12"/>
        <v>0</v>
      </c>
      <c r="G24" s="76">
        <f t="shared" si="12"/>
        <v>0</v>
      </c>
      <c r="H24" s="76">
        <f t="shared" si="12"/>
        <v>0</v>
      </c>
      <c r="I24" s="76">
        <f t="shared" si="12"/>
        <v>0</v>
      </c>
      <c r="J24" s="76">
        <f t="shared" si="12"/>
        <v>0</v>
      </c>
      <c r="K24" s="76">
        <f t="shared" si="12"/>
        <v>0</v>
      </c>
      <c r="L24" s="76">
        <f t="shared" si="12"/>
        <v>0</v>
      </c>
      <c r="M24" s="76">
        <f t="shared" si="12"/>
        <v>0</v>
      </c>
      <c r="N24" s="76">
        <f t="shared" si="12"/>
        <v>0</v>
      </c>
      <c r="O24" s="76">
        <f t="shared" si="12"/>
        <v>0</v>
      </c>
      <c r="P24" s="76">
        <f t="shared" si="12"/>
        <v>0</v>
      </c>
      <c r="Q24" s="76">
        <f t="shared" si="12"/>
        <v>0</v>
      </c>
      <c r="R24" s="76">
        <f t="shared" si="12"/>
        <v>0</v>
      </c>
      <c r="S24" s="76">
        <f t="shared" si="12"/>
        <v>0</v>
      </c>
      <c r="T24" s="76">
        <f t="shared" si="12"/>
        <v>0</v>
      </c>
      <c r="U24" s="76">
        <f t="shared" si="12"/>
        <v>0</v>
      </c>
      <c r="V24" s="76">
        <f t="shared" si="12"/>
        <v>0</v>
      </c>
      <c r="W24" s="76"/>
      <c r="X24" s="76">
        <f t="shared" si="4"/>
        <v>107191</v>
      </c>
      <c r="Y24" s="76">
        <f t="shared" si="4"/>
        <v>70328</v>
      </c>
      <c r="Z24" s="76">
        <f t="shared" si="4"/>
        <v>-1652274</v>
      </c>
      <c r="AA24" s="76">
        <f t="shared" si="4"/>
        <v>446208</v>
      </c>
      <c r="AB24" s="76">
        <f t="shared" si="4"/>
        <v>640643</v>
      </c>
      <c r="AC24" s="73">
        <f t="shared" si="5"/>
        <v>-43100.444444444445</v>
      </c>
      <c r="AD24" s="73">
        <f t="shared" si="6"/>
        <v>88759.5</v>
      </c>
      <c r="AE24" s="79"/>
      <c r="AF24" s="79"/>
      <c r="AG24" s="79"/>
      <c r="AH24" s="79"/>
      <c r="AI24" s="79"/>
      <c r="AJ24" s="79"/>
      <c r="AK24" s="79"/>
      <c r="AL24" s="79"/>
      <c r="AM24" s="79"/>
      <c r="AN24" s="79"/>
      <c r="AO24" s="79"/>
      <c r="AP24" s="79"/>
    </row>
    <row r="25" spans="1:42">
      <c r="A25" s="72" t="s">
        <v>314</v>
      </c>
      <c r="B25" s="1919"/>
      <c r="C25" s="76"/>
      <c r="D25" s="76">
        <f t="shared" ref="D25:V25" si="13">D13-C13</f>
        <v>0</v>
      </c>
      <c r="E25" s="76">
        <f t="shared" si="13"/>
        <v>0</v>
      </c>
      <c r="F25" s="76">
        <f t="shared" si="13"/>
        <v>0</v>
      </c>
      <c r="G25" s="76">
        <f t="shared" si="13"/>
        <v>0</v>
      </c>
      <c r="H25" s="76">
        <f t="shared" si="13"/>
        <v>0</v>
      </c>
      <c r="I25" s="76">
        <f t="shared" si="13"/>
        <v>0</v>
      </c>
      <c r="J25" s="76">
        <f t="shared" si="13"/>
        <v>0</v>
      </c>
      <c r="K25" s="76">
        <f t="shared" si="13"/>
        <v>0</v>
      </c>
      <c r="L25" s="76">
        <f t="shared" si="13"/>
        <v>0</v>
      </c>
      <c r="M25" s="76">
        <f t="shared" si="13"/>
        <v>0</v>
      </c>
      <c r="N25" s="76">
        <f t="shared" si="13"/>
        <v>0</v>
      </c>
      <c r="O25" s="76">
        <f t="shared" si="13"/>
        <v>0</v>
      </c>
      <c r="P25" s="76">
        <f t="shared" si="13"/>
        <v>0</v>
      </c>
      <c r="Q25" s="76">
        <f t="shared" si="13"/>
        <v>0</v>
      </c>
      <c r="R25" s="76">
        <f t="shared" si="13"/>
        <v>0</v>
      </c>
      <c r="S25" s="76">
        <f t="shared" si="13"/>
        <v>0</v>
      </c>
      <c r="T25" s="76">
        <f t="shared" si="13"/>
        <v>0</v>
      </c>
      <c r="U25" s="76">
        <f t="shared" si="13"/>
        <v>0</v>
      </c>
      <c r="V25" s="76">
        <f t="shared" si="13"/>
        <v>0</v>
      </c>
      <c r="W25" s="76">
        <f>W13-V13</f>
        <v>0</v>
      </c>
      <c r="X25" s="76">
        <f t="shared" si="4"/>
        <v>0</v>
      </c>
      <c r="Y25" s="76">
        <f t="shared" si="4"/>
        <v>26258755</v>
      </c>
      <c r="Z25" s="76">
        <f t="shared" si="4"/>
        <v>-1517791</v>
      </c>
      <c r="AA25" s="76">
        <f t="shared" si="4"/>
        <v>110497</v>
      </c>
      <c r="AB25" s="76">
        <f t="shared" si="4"/>
        <v>771188</v>
      </c>
      <c r="AC25" s="73">
        <f t="shared" si="5"/>
        <v>2562264.9</v>
      </c>
      <c r="AD25" s="73">
        <f t="shared" si="6"/>
        <v>8752918.333333334</v>
      </c>
      <c r="AE25" s="79"/>
      <c r="AF25" s="79"/>
      <c r="AG25" s="79"/>
      <c r="AH25" s="79"/>
      <c r="AI25" s="79"/>
      <c r="AJ25" s="79"/>
      <c r="AK25" s="79"/>
      <c r="AL25" s="79"/>
      <c r="AM25" s="79"/>
      <c r="AN25" s="79"/>
      <c r="AO25" s="79"/>
      <c r="AP25" s="79"/>
    </row>
    <row r="26" spans="1:42" s="112" customFormat="1">
      <c r="A26" s="74" t="s">
        <v>203</v>
      </c>
      <c r="B26" s="74"/>
      <c r="C26" s="75"/>
      <c r="D26" s="75">
        <f t="shared" ref="D26:AC26" si="14">SUM(D18:D25)</f>
        <v>0</v>
      </c>
      <c r="E26" s="75">
        <f t="shared" si="14"/>
        <v>0</v>
      </c>
      <c r="F26" s="75">
        <f t="shared" si="14"/>
        <v>0</v>
      </c>
      <c r="G26" s="75">
        <f t="shared" si="14"/>
        <v>0</v>
      </c>
      <c r="H26" s="75">
        <f t="shared" si="14"/>
        <v>0</v>
      </c>
      <c r="I26" s="75">
        <f t="shared" si="14"/>
        <v>0</v>
      </c>
      <c r="J26" s="75">
        <f t="shared" si="14"/>
        <v>0</v>
      </c>
      <c r="K26" s="75">
        <f t="shared" si="14"/>
        <v>0</v>
      </c>
      <c r="L26" s="75">
        <f t="shared" si="14"/>
        <v>0</v>
      </c>
      <c r="M26" s="75">
        <f t="shared" si="14"/>
        <v>0</v>
      </c>
      <c r="N26" s="75">
        <f t="shared" si="14"/>
        <v>0</v>
      </c>
      <c r="O26" s="75">
        <f t="shared" si="14"/>
        <v>0</v>
      </c>
      <c r="P26" s="75">
        <f t="shared" si="14"/>
        <v>0</v>
      </c>
      <c r="Q26" s="75">
        <f t="shared" si="14"/>
        <v>0</v>
      </c>
      <c r="R26" s="75">
        <f t="shared" si="14"/>
        <v>0</v>
      </c>
      <c r="S26" s="75">
        <f t="shared" si="14"/>
        <v>0</v>
      </c>
      <c r="T26" s="75">
        <f t="shared" si="14"/>
        <v>0</v>
      </c>
      <c r="U26" s="75">
        <f t="shared" si="14"/>
        <v>0</v>
      </c>
      <c r="V26" s="75">
        <f t="shared" si="14"/>
        <v>0</v>
      </c>
      <c r="W26" s="75">
        <f t="shared" si="14"/>
        <v>22309710</v>
      </c>
      <c r="X26" s="75">
        <f t="shared" si="14"/>
        <v>72563645</v>
      </c>
      <c r="Y26" s="75">
        <f t="shared" si="14"/>
        <v>100081407</v>
      </c>
      <c r="Z26" s="75">
        <f t="shared" si="14"/>
        <v>-84662111</v>
      </c>
      <c r="AA26" s="75">
        <f t="shared" si="14"/>
        <v>21235203</v>
      </c>
      <c r="AB26" s="75">
        <f t="shared" si="14"/>
        <v>60048179</v>
      </c>
      <c r="AC26" s="75">
        <f t="shared" si="14"/>
        <v>20755327.733333334</v>
      </c>
      <c r="AD26" s="101">
        <f t="shared" si="6"/>
        <v>64984920.666666664</v>
      </c>
      <c r="AE26" s="79"/>
      <c r="AF26" s="79"/>
      <c r="AG26" s="79"/>
      <c r="AH26" s="79"/>
      <c r="AI26" s="79"/>
      <c r="AJ26" s="79"/>
      <c r="AK26" s="79"/>
      <c r="AL26" s="79"/>
      <c r="AM26" s="79"/>
      <c r="AN26" s="79"/>
      <c r="AO26" s="79"/>
      <c r="AP26" s="79"/>
    </row>
    <row r="28" spans="1:42">
      <c r="A28" s="71"/>
      <c r="B28" s="71"/>
      <c r="C28" s="1910" t="s">
        <v>441</v>
      </c>
      <c r="D28" s="1910"/>
      <c r="E28" s="1910"/>
      <c r="F28" s="1910"/>
      <c r="G28" s="1910"/>
      <c r="H28" s="1910"/>
      <c r="I28" s="1910"/>
      <c r="J28" s="1910"/>
      <c r="K28" s="1910"/>
      <c r="L28" s="1910"/>
      <c r="M28" s="1910"/>
      <c r="N28" s="1910"/>
      <c r="O28" s="1910"/>
      <c r="P28" s="1910"/>
      <c r="Q28" s="1910"/>
      <c r="R28" s="1910"/>
      <c r="S28" s="1910"/>
      <c r="T28" s="1910"/>
      <c r="U28" s="1910"/>
      <c r="V28" s="1910"/>
      <c r="W28" s="1910"/>
      <c r="X28" s="1910"/>
      <c r="Y28" s="1910"/>
      <c r="Z28" s="1910"/>
      <c r="AA28" s="1910"/>
      <c r="AB28" s="1910"/>
      <c r="AC28" s="86"/>
      <c r="AD28" s="86"/>
      <c r="AE28" s="115"/>
      <c r="AF28" s="115"/>
      <c r="AG28" s="115"/>
      <c r="AH28" s="115"/>
      <c r="AI28" s="115"/>
      <c r="AJ28" s="115"/>
      <c r="AK28" s="115"/>
      <c r="AL28" s="115"/>
      <c r="AM28" s="115"/>
      <c r="AN28" s="115"/>
      <c r="AO28" s="115"/>
      <c r="AP28" s="115"/>
    </row>
    <row r="29" spans="1:42">
      <c r="A29" s="71"/>
      <c r="B29" s="71"/>
      <c r="C29" s="72" t="s">
        <v>284</v>
      </c>
      <c r="D29" s="72" t="s">
        <v>285</v>
      </c>
      <c r="E29" s="72" t="s">
        <v>286</v>
      </c>
      <c r="F29" s="72" t="s">
        <v>287</v>
      </c>
      <c r="G29" s="72" t="s">
        <v>288</v>
      </c>
      <c r="H29" s="72" t="s">
        <v>289</v>
      </c>
      <c r="I29" s="72" t="s">
        <v>290</v>
      </c>
      <c r="J29" s="72" t="s">
        <v>291</v>
      </c>
      <c r="K29" s="72" t="s">
        <v>292</v>
      </c>
      <c r="L29" s="72" t="s">
        <v>293</v>
      </c>
      <c r="M29" s="72" t="s">
        <v>294</v>
      </c>
      <c r="N29" s="72" t="s">
        <v>295</v>
      </c>
      <c r="O29" s="72" t="s">
        <v>296</v>
      </c>
      <c r="P29" s="72" t="s">
        <v>297</v>
      </c>
      <c r="Q29" s="72" t="s">
        <v>298</v>
      </c>
      <c r="R29" s="72" t="s">
        <v>299</v>
      </c>
      <c r="S29" s="72" t="s">
        <v>300</v>
      </c>
      <c r="T29" s="72" t="s">
        <v>301</v>
      </c>
      <c r="U29" s="72" t="s">
        <v>302</v>
      </c>
      <c r="V29" s="72" t="s">
        <v>303</v>
      </c>
      <c r="W29" s="72" t="s">
        <v>304</v>
      </c>
      <c r="X29" s="72" t="s">
        <v>305</v>
      </c>
      <c r="Y29" s="72" t="s">
        <v>306</v>
      </c>
      <c r="Z29" s="72" t="s">
        <v>307</v>
      </c>
      <c r="AA29" s="72" t="s">
        <v>308</v>
      </c>
      <c r="AB29" s="72" t="s">
        <v>309</v>
      </c>
      <c r="AC29" s="72" t="s">
        <v>351</v>
      </c>
      <c r="AD29" s="72" t="s">
        <v>352</v>
      </c>
      <c r="AE29" s="72" t="s">
        <v>340</v>
      </c>
      <c r="AF29" s="72" t="s">
        <v>341</v>
      </c>
      <c r="AG29" s="72" t="s">
        <v>342</v>
      </c>
      <c r="AH29" s="72" t="s">
        <v>343</v>
      </c>
      <c r="AI29" s="72" t="s">
        <v>344</v>
      </c>
      <c r="AJ29" s="72" t="s">
        <v>345</v>
      </c>
      <c r="AK29" s="72" t="s">
        <v>346</v>
      </c>
      <c r="AL29" s="72" t="s">
        <v>347</v>
      </c>
      <c r="AM29" s="72" t="s">
        <v>348</v>
      </c>
      <c r="AN29" s="72" t="s">
        <v>349</v>
      </c>
      <c r="AO29" s="72" t="s">
        <v>350</v>
      </c>
      <c r="AP29" s="72" t="s">
        <v>353</v>
      </c>
    </row>
    <row r="30" spans="1:42">
      <c r="A30" s="72" t="s">
        <v>315</v>
      </c>
      <c r="B30" s="1917" t="s">
        <v>339</v>
      </c>
      <c r="C30" s="76"/>
      <c r="D30" s="77" t="e">
        <f t="shared" ref="D30:AB30" si="15">D18/C6</f>
        <v>#DIV/0!</v>
      </c>
      <c r="E30" s="77" t="e">
        <f t="shared" si="15"/>
        <v>#DIV/0!</v>
      </c>
      <c r="F30" s="77" t="e">
        <f t="shared" si="15"/>
        <v>#DIV/0!</v>
      </c>
      <c r="G30" s="77" t="e">
        <f t="shared" si="15"/>
        <v>#DIV/0!</v>
      </c>
      <c r="H30" s="77" t="e">
        <f t="shared" si="15"/>
        <v>#DIV/0!</v>
      </c>
      <c r="I30" s="77" t="e">
        <f t="shared" si="15"/>
        <v>#DIV/0!</v>
      </c>
      <c r="J30" s="77" t="e">
        <f t="shared" si="15"/>
        <v>#DIV/0!</v>
      </c>
      <c r="K30" s="77" t="e">
        <f t="shared" si="15"/>
        <v>#DIV/0!</v>
      </c>
      <c r="L30" s="77" t="e">
        <f t="shared" si="15"/>
        <v>#DIV/0!</v>
      </c>
      <c r="M30" s="77" t="e">
        <f t="shared" si="15"/>
        <v>#DIV/0!</v>
      </c>
      <c r="N30" s="77" t="e">
        <f t="shared" si="15"/>
        <v>#DIV/0!</v>
      </c>
      <c r="O30" s="77" t="e">
        <f t="shared" si="15"/>
        <v>#DIV/0!</v>
      </c>
      <c r="P30" s="77" t="e">
        <f t="shared" si="15"/>
        <v>#DIV/0!</v>
      </c>
      <c r="Q30" s="77" t="e">
        <f t="shared" si="15"/>
        <v>#DIV/0!</v>
      </c>
      <c r="R30" s="77" t="e">
        <f t="shared" si="15"/>
        <v>#DIV/0!</v>
      </c>
      <c r="S30" s="77" t="e">
        <f t="shared" si="15"/>
        <v>#DIV/0!</v>
      </c>
      <c r="T30" s="77" t="e">
        <f t="shared" si="15"/>
        <v>#DIV/0!</v>
      </c>
      <c r="U30" s="77" t="e">
        <f t="shared" si="15"/>
        <v>#DIV/0!</v>
      </c>
      <c r="V30" s="77" t="e">
        <f t="shared" si="15"/>
        <v>#DIV/0!</v>
      </c>
      <c r="W30" s="77" t="e">
        <f t="shared" si="15"/>
        <v>#DIV/0!</v>
      </c>
      <c r="X30" s="77">
        <f t="shared" si="15"/>
        <v>7.4656188605108052E-3</v>
      </c>
      <c r="Y30" s="77">
        <f t="shared" si="15"/>
        <v>8.5448872500354552E-3</v>
      </c>
      <c r="Z30" s="77">
        <f t="shared" si="15"/>
        <v>-5.8041835120407802E-2</v>
      </c>
      <c r="AA30" s="77">
        <f t="shared" si="15"/>
        <v>5.2213182055684107E-2</v>
      </c>
      <c r="AB30" s="77">
        <f t="shared" si="15"/>
        <v>2.2133153619692831E-2</v>
      </c>
      <c r="AC30" s="98">
        <f t="shared" ref="AC30:AC38" si="16">AVERAGE(X30:AB30)</f>
        <v>6.4630013331030802E-3</v>
      </c>
      <c r="AD30" s="98">
        <f t="shared" ref="AD30:AD38" si="17">AVERAGE(X30:Y30)</f>
        <v>8.0052530552731302E-3</v>
      </c>
      <c r="AE30" s="117"/>
      <c r="AF30" s="117"/>
      <c r="AG30" s="117"/>
      <c r="AH30" s="117"/>
      <c r="AI30" s="117"/>
      <c r="AJ30" s="117"/>
      <c r="AK30" s="117"/>
      <c r="AL30" s="117"/>
      <c r="AM30" s="117"/>
      <c r="AN30" s="117"/>
      <c r="AO30" s="117"/>
      <c r="AP30" s="117"/>
    </row>
    <row r="31" spans="1:42">
      <c r="A31" s="72" t="s">
        <v>310</v>
      </c>
      <c r="B31" s="1918"/>
      <c r="C31" s="76"/>
      <c r="D31" s="77" t="e">
        <f t="shared" ref="D31:AB31" si="18">D19/C7</f>
        <v>#DIV/0!</v>
      </c>
      <c r="E31" s="77" t="e">
        <f t="shared" si="18"/>
        <v>#DIV/0!</v>
      </c>
      <c r="F31" s="77" t="e">
        <f t="shared" si="18"/>
        <v>#DIV/0!</v>
      </c>
      <c r="G31" s="77" t="e">
        <f t="shared" si="18"/>
        <v>#DIV/0!</v>
      </c>
      <c r="H31" s="77" t="e">
        <f t="shared" si="18"/>
        <v>#DIV/0!</v>
      </c>
      <c r="I31" s="77" t="e">
        <f t="shared" si="18"/>
        <v>#DIV/0!</v>
      </c>
      <c r="J31" s="77" t="e">
        <f t="shared" si="18"/>
        <v>#DIV/0!</v>
      </c>
      <c r="K31" s="77" t="e">
        <f t="shared" si="18"/>
        <v>#DIV/0!</v>
      </c>
      <c r="L31" s="77" t="e">
        <f t="shared" si="18"/>
        <v>#DIV/0!</v>
      </c>
      <c r="M31" s="77" t="e">
        <f t="shared" si="18"/>
        <v>#DIV/0!</v>
      </c>
      <c r="N31" s="77" t="e">
        <f t="shared" si="18"/>
        <v>#DIV/0!</v>
      </c>
      <c r="O31" s="77" t="e">
        <f t="shared" si="18"/>
        <v>#DIV/0!</v>
      </c>
      <c r="P31" s="77" t="e">
        <f t="shared" si="18"/>
        <v>#DIV/0!</v>
      </c>
      <c r="Q31" s="77" t="e">
        <f t="shared" si="18"/>
        <v>#DIV/0!</v>
      </c>
      <c r="R31" s="77" t="e">
        <f t="shared" si="18"/>
        <v>#DIV/0!</v>
      </c>
      <c r="S31" s="77" t="e">
        <f t="shared" si="18"/>
        <v>#DIV/0!</v>
      </c>
      <c r="T31" s="77" t="e">
        <f t="shared" si="18"/>
        <v>#DIV/0!</v>
      </c>
      <c r="U31" s="77" t="e">
        <f t="shared" si="18"/>
        <v>#DIV/0!</v>
      </c>
      <c r="V31" s="77" t="e">
        <f t="shared" si="18"/>
        <v>#DIV/0!</v>
      </c>
      <c r="W31" s="77" t="e">
        <f t="shared" si="18"/>
        <v>#DIV/0!</v>
      </c>
      <c r="X31" s="77">
        <f t="shared" si="18"/>
        <v>8.6428622296138874E-2</v>
      </c>
      <c r="Y31" s="77">
        <f t="shared" si="18"/>
        <v>8.0951353059393841E-2</v>
      </c>
      <c r="Z31" s="77">
        <f t="shared" si="18"/>
        <v>-7.9193116872982458E-2</v>
      </c>
      <c r="AA31" s="77">
        <f t="shared" si="18"/>
        <v>2.062400047360273E-2</v>
      </c>
      <c r="AB31" s="77">
        <f t="shared" si="18"/>
        <v>6.2443688785571619E-2</v>
      </c>
      <c r="AC31" s="98">
        <f t="shared" si="16"/>
        <v>3.4250909548344921E-2</v>
      </c>
      <c r="AD31" s="98">
        <f t="shared" si="17"/>
        <v>8.3689987677766364E-2</v>
      </c>
      <c r="AE31" s="117"/>
      <c r="AF31" s="117"/>
      <c r="AG31" s="117"/>
      <c r="AH31" s="117"/>
      <c r="AI31" s="117"/>
      <c r="AJ31" s="117"/>
      <c r="AK31" s="117"/>
      <c r="AL31" s="117"/>
      <c r="AM31" s="117"/>
      <c r="AN31" s="117"/>
      <c r="AO31" s="117"/>
      <c r="AP31" s="117"/>
    </row>
    <row r="32" spans="1:42">
      <c r="A32" s="72" t="s">
        <v>317</v>
      </c>
      <c r="B32" s="1918"/>
      <c r="C32" s="76"/>
      <c r="D32" s="77" t="e">
        <f t="shared" ref="D32:AB32" si="19">D20/C8</f>
        <v>#DIV/0!</v>
      </c>
      <c r="E32" s="77" t="e">
        <f t="shared" si="19"/>
        <v>#DIV/0!</v>
      </c>
      <c r="F32" s="77" t="e">
        <f t="shared" si="19"/>
        <v>#DIV/0!</v>
      </c>
      <c r="G32" s="77" t="e">
        <f t="shared" si="19"/>
        <v>#DIV/0!</v>
      </c>
      <c r="H32" s="77" t="e">
        <f t="shared" si="19"/>
        <v>#DIV/0!</v>
      </c>
      <c r="I32" s="77" t="e">
        <f t="shared" si="19"/>
        <v>#DIV/0!</v>
      </c>
      <c r="J32" s="77" t="e">
        <f t="shared" si="19"/>
        <v>#DIV/0!</v>
      </c>
      <c r="K32" s="77" t="e">
        <f t="shared" si="19"/>
        <v>#DIV/0!</v>
      </c>
      <c r="L32" s="77" t="e">
        <f t="shared" si="19"/>
        <v>#DIV/0!</v>
      </c>
      <c r="M32" s="77" t="e">
        <f t="shared" si="19"/>
        <v>#DIV/0!</v>
      </c>
      <c r="N32" s="77" t="e">
        <f t="shared" si="19"/>
        <v>#DIV/0!</v>
      </c>
      <c r="O32" s="77" t="e">
        <f t="shared" si="19"/>
        <v>#DIV/0!</v>
      </c>
      <c r="P32" s="77" t="e">
        <f t="shared" si="19"/>
        <v>#DIV/0!</v>
      </c>
      <c r="Q32" s="77" t="e">
        <f t="shared" si="19"/>
        <v>#DIV/0!</v>
      </c>
      <c r="R32" s="77" t="e">
        <f t="shared" si="19"/>
        <v>#DIV/0!</v>
      </c>
      <c r="S32" s="77" t="e">
        <f t="shared" si="19"/>
        <v>#DIV/0!</v>
      </c>
      <c r="T32" s="77" t="e">
        <f t="shared" si="19"/>
        <v>#DIV/0!</v>
      </c>
      <c r="U32" s="77" t="e">
        <f t="shared" si="19"/>
        <v>#DIV/0!</v>
      </c>
      <c r="V32" s="77" t="e">
        <f t="shared" si="19"/>
        <v>#DIV/0!</v>
      </c>
      <c r="W32" s="77" t="e">
        <f t="shared" si="19"/>
        <v>#DIV/0!</v>
      </c>
      <c r="X32" s="77" t="e">
        <f t="shared" si="19"/>
        <v>#DIV/0!</v>
      </c>
      <c r="Y32" s="77" t="e">
        <f t="shared" si="19"/>
        <v>#DIV/0!</v>
      </c>
      <c r="Z32" s="77" t="e">
        <f t="shared" si="19"/>
        <v>#DIV/0!</v>
      </c>
      <c r="AA32" s="77" t="e">
        <f t="shared" si="19"/>
        <v>#DIV/0!</v>
      </c>
      <c r="AB32" s="77" t="e">
        <f t="shared" si="19"/>
        <v>#DIV/0!</v>
      </c>
      <c r="AC32" s="98" t="e">
        <f t="shared" si="16"/>
        <v>#DIV/0!</v>
      </c>
      <c r="AD32" s="98" t="e">
        <f t="shared" si="17"/>
        <v>#DIV/0!</v>
      </c>
      <c r="AE32" s="117"/>
      <c r="AF32" s="117"/>
      <c r="AG32" s="117"/>
      <c r="AH32" s="117"/>
      <c r="AI32" s="117"/>
      <c r="AJ32" s="117"/>
      <c r="AK32" s="117"/>
      <c r="AL32" s="117"/>
      <c r="AM32" s="117"/>
      <c r="AN32" s="117"/>
      <c r="AO32" s="117"/>
      <c r="AP32" s="117"/>
    </row>
    <row r="33" spans="1:42">
      <c r="A33" s="72" t="s">
        <v>313</v>
      </c>
      <c r="B33" s="1918"/>
      <c r="C33" s="76"/>
      <c r="D33" s="77" t="e">
        <f t="shared" ref="D33:AB33" si="20">D21/C9</f>
        <v>#DIV/0!</v>
      </c>
      <c r="E33" s="77" t="e">
        <f t="shared" si="20"/>
        <v>#DIV/0!</v>
      </c>
      <c r="F33" s="77" t="e">
        <f t="shared" si="20"/>
        <v>#DIV/0!</v>
      </c>
      <c r="G33" s="77" t="e">
        <f t="shared" si="20"/>
        <v>#DIV/0!</v>
      </c>
      <c r="H33" s="77" t="e">
        <f t="shared" si="20"/>
        <v>#DIV/0!</v>
      </c>
      <c r="I33" s="77" t="e">
        <f t="shared" si="20"/>
        <v>#DIV/0!</v>
      </c>
      <c r="J33" s="77" t="e">
        <f t="shared" si="20"/>
        <v>#DIV/0!</v>
      </c>
      <c r="K33" s="77" t="e">
        <f t="shared" si="20"/>
        <v>#DIV/0!</v>
      </c>
      <c r="L33" s="77" t="e">
        <f t="shared" si="20"/>
        <v>#DIV/0!</v>
      </c>
      <c r="M33" s="77" t="e">
        <f t="shared" si="20"/>
        <v>#DIV/0!</v>
      </c>
      <c r="N33" s="77" t="e">
        <f t="shared" si="20"/>
        <v>#DIV/0!</v>
      </c>
      <c r="O33" s="77" t="e">
        <f t="shared" si="20"/>
        <v>#DIV/0!</v>
      </c>
      <c r="P33" s="77" t="e">
        <f t="shared" si="20"/>
        <v>#DIV/0!</v>
      </c>
      <c r="Q33" s="77" t="e">
        <f t="shared" si="20"/>
        <v>#DIV/0!</v>
      </c>
      <c r="R33" s="77" t="e">
        <f t="shared" si="20"/>
        <v>#DIV/0!</v>
      </c>
      <c r="S33" s="77" t="e">
        <f t="shared" si="20"/>
        <v>#DIV/0!</v>
      </c>
      <c r="T33" s="77" t="e">
        <f t="shared" si="20"/>
        <v>#DIV/0!</v>
      </c>
      <c r="U33" s="77" t="e">
        <f t="shared" si="20"/>
        <v>#DIV/0!</v>
      </c>
      <c r="V33" s="77" t="e">
        <f t="shared" si="20"/>
        <v>#DIV/0!</v>
      </c>
      <c r="W33" s="77" t="e">
        <f t="shared" si="20"/>
        <v>#DIV/0!</v>
      </c>
      <c r="X33" s="77">
        <f t="shared" si="20"/>
        <v>3.8104036314232682E-3</v>
      </c>
      <c r="Y33" s="77">
        <f t="shared" si="20"/>
        <v>9.4230697871225799E-3</v>
      </c>
      <c r="Z33" s="77">
        <f t="shared" si="20"/>
        <v>-2.7233872308394511E-2</v>
      </c>
      <c r="AA33" s="77">
        <f t="shared" si="20"/>
        <v>-2.2189799557109872E-2</v>
      </c>
      <c r="AB33" s="77">
        <f t="shared" si="20"/>
        <v>3.0510300645312273E-2</v>
      </c>
      <c r="AC33" s="98">
        <f t="shared" si="16"/>
        <v>-1.1359795603292518E-3</v>
      </c>
      <c r="AD33" s="98">
        <f t="shared" si="17"/>
        <v>6.616736709272924E-3</v>
      </c>
      <c r="AE33" s="117"/>
      <c r="AF33" s="117"/>
      <c r="AG33" s="117"/>
      <c r="AH33" s="117"/>
      <c r="AI33" s="117"/>
      <c r="AJ33" s="117"/>
      <c r="AK33" s="117"/>
      <c r="AL33" s="117"/>
      <c r="AM33" s="117"/>
      <c r="AN33" s="117"/>
      <c r="AO33" s="117"/>
      <c r="AP33" s="117"/>
    </row>
    <row r="34" spans="1:42">
      <c r="A34" s="72" t="s">
        <v>316</v>
      </c>
      <c r="B34" s="1918"/>
      <c r="C34" s="76"/>
      <c r="D34" s="77" t="e">
        <f t="shared" ref="D34:AB34" si="21">D22/C10</f>
        <v>#DIV/0!</v>
      </c>
      <c r="E34" s="77" t="e">
        <f t="shared" si="21"/>
        <v>#DIV/0!</v>
      </c>
      <c r="F34" s="77" t="e">
        <f t="shared" si="21"/>
        <v>#DIV/0!</v>
      </c>
      <c r="G34" s="77" t="e">
        <f t="shared" si="21"/>
        <v>#DIV/0!</v>
      </c>
      <c r="H34" s="77" t="e">
        <f t="shared" si="21"/>
        <v>#DIV/0!</v>
      </c>
      <c r="I34" s="77" t="e">
        <f t="shared" si="21"/>
        <v>#DIV/0!</v>
      </c>
      <c r="J34" s="77" t="e">
        <f t="shared" si="21"/>
        <v>#DIV/0!</v>
      </c>
      <c r="K34" s="77" t="e">
        <f t="shared" si="21"/>
        <v>#DIV/0!</v>
      </c>
      <c r="L34" s="77" t="e">
        <f t="shared" si="21"/>
        <v>#DIV/0!</v>
      </c>
      <c r="M34" s="77" t="e">
        <f t="shared" si="21"/>
        <v>#DIV/0!</v>
      </c>
      <c r="N34" s="77" t="e">
        <f t="shared" si="21"/>
        <v>#DIV/0!</v>
      </c>
      <c r="O34" s="77" t="e">
        <f t="shared" si="21"/>
        <v>#DIV/0!</v>
      </c>
      <c r="P34" s="77" t="e">
        <f t="shared" si="21"/>
        <v>#DIV/0!</v>
      </c>
      <c r="Q34" s="77" t="e">
        <f t="shared" si="21"/>
        <v>#DIV/0!</v>
      </c>
      <c r="R34" s="77" t="e">
        <f t="shared" si="21"/>
        <v>#DIV/0!</v>
      </c>
      <c r="S34" s="77" t="e">
        <f t="shared" si="21"/>
        <v>#DIV/0!</v>
      </c>
      <c r="T34" s="77" t="e">
        <f t="shared" si="21"/>
        <v>#DIV/0!</v>
      </c>
      <c r="U34" s="77" t="e">
        <f t="shared" si="21"/>
        <v>#DIV/0!</v>
      </c>
      <c r="V34" s="77" t="e">
        <f t="shared" si="21"/>
        <v>#DIV/0!</v>
      </c>
      <c r="W34" s="77" t="e">
        <f t="shared" si="21"/>
        <v>#DIV/0!</v>
      </c>
      <c r="X34" s="77" t="e">
        <f t="shared" si="21"/>
        <v>#DIV/0!</v>
      </c>
      <c r="Y34" s="77" t="e">
        <f t="shared" si="21"/>
        <v>#DIV/0!</v>
      </c>
      <c r="Z34" s="77" t="e">
        <f t="shared" si="21"/>
        <v>#DIV/0!</v>
      </c>
      <c r="AA34" s="77" t="e">
        <f t="shared" si="21"/>
        <v>#DIV/0!</v>
      </c>
      <c r="AB34" s="77" t="e">
        <f t="shared" si="21"/>
        <v>#DIV/0!</v>
      </c>
      <c r="AC34" s="98" t="e">
        <f t="shared" si="16"/>
        <v>#DIV/0!</v>
      </c>
      <c r="AD34" s="98" t="e">
        <f t="shared" si="17"/>
        <v>#DIV/0!</v>
      </c>
      <c r="AE34" s="117"/>
      <c r="AF34" s="117"/>
      <c r="AG34" s="117"/>
      <c r="AH34" s="117"/>
      <c r="AI34" s="117"/>
      <c r="AJ34" s="117"/>
      <c r="AK34" s="117"/>
      <c r="AL34" s="117"/>
      <c r="AM34" s="117"/>
      <c r="AN34" s="117"/>
      <c r="AO34" s="117"/>
      <c r="AP34" s="117"/>
    </row>
    <row r="35" spans="1:42">
      <c r="A35" s="72" t="s">
        <v>312</v>
      </c>
      <c r="B35" s="1918"/>
      <c r="C35" s="76"/>
      <c r="D35" s="77" t="e">
        <f t="shared" ref="D35:AB35" si="22">D23/C11</f>
        <v>#DIV/0!</v>
      </c>
      <c r="E35" s="77" t="e">
        <f t="shared" si="22"/>
        <v>#DIV/0!</v>
      </c>
      <c r="F35" s="77" t="e">
        <f t="shared" si="22"/>
        <v>#DIV/0!</v>
      </c>
      <c r="G35" s="77" t="e">
        <f t="shared" si="22"/>
        <v>#DIV/0!</v>
      </c>
      <c r="H35" s="77" t="e">
        <f t="shared" si="22"/>
        <v>#DIV/0!</v>
      </c>
      <c r="I35" s="77" t="e">
        <f t="shared" si="22"/>
        <v>#DIV/0!</v>
      </c>
      <c r="J35" s="77" t="e">
        <f t="shared" si="22"/>
        <v>#DIV/0!</v>
      </c>
      <c r="K35" s="77" t="e">
        <f t="shared" si="22"/>
        <v>#DIV/0!</v>
      </c>
      <c r="L35" s="77" t="e">
        <f t="shared" si="22"/>
        <v>#DIV/0!</v>
      </c>
      <c r="M35" s="77" t="e">
        <f t="shared" si="22"/>
        <v>#DIV/0!</v>
      </c>
      <c r="N35" s="77" t="e">
        <f t="shared" si="22"/>
        <v>#DIV/0!</v>
      </c>
      <c r="O35" s="77" t="e">
        <f t="shared" si="22"/>
        <v>#DIV/0!</v>
      </c>
      <c r="P35" s="77" t="e">
        <f t="shared" si="22"/>
        <v>#DIV/0!</v>
      </c>
      <c r="Q35" s="77" t="e">
        <f t="shared" si="22"/>
        <v>#DIV/0!</v>
      </c>
      <c r="R35" s="77" t="e">
        <f t="shared" si="22"/>
        <v>#DIV/0!</v>
      </c>
      <c r="S35" s="77" t="e">
        <f t="shared" si="22"/>
        <v>#DIV/0!</v>
      </c>
      <c r="T35" s="77" t="e">
        <f t="shared" si="22"/>
        <v>#DIV/0!</v>
      </c>
      <c r="U35" s="77" t="e">
        <f t="shared" si="22"/>
        <v>#DIV/0!</v>
      </c>
      <c r="V35" s="77" t="e">
        <f t="shared" si="22"/>
        <v>#DIV/0!</v>
      </c>
      <c r="W35" s="77" t="e">
        <f t="shared" si="22"/>
        <v>#DIV/0!</v>
      </c>
      <c r="X35" s="77">
        <f t="shared" si="22"/>
        <v>9.3203892565542745E-3</v>
      </c>
      <c r="Y35" s="77">
        <f t="shared" si="22"/>
        <v>3.4698638920218176E-3</v>
      </c>
      <c r="Z35" s="77">
        <f t="shared" si="22"/>
        <v>-8.1080714458248743E-2</v>
      </c>
      <c r="AA35" s="77">
        <f t="shared" si="22"/>
        <v>5.8998267537005267E-2</v>
      </c>
      <c r="AB35" s="77">
        <f t="shared" si="22"/>
        <v>-1.0809652949456835E-3</v>
      </c>
      <c r="AC35" s="98">
        <f t="shared" si="16"/>
        <v>-2.0746318135226125E-3</v>
      </c>
      <c r="AD35" s="98">
        <f t="shared" si="17"/>
        <v>6.395126574288046E-3</v>
      </c>
      <c r="AE35" s="117"/>
      <c r="AF35" s="117"/>
      <c r="AG35" s="117"/>
      <c r="AH35" s="117"/>
      <c r="AI35" s="117"/>
      <c r="AJ35" s="117"/>
      <c r="AK35" s="117"/>
      <c r="AL35" s="117"/>
      <c r="AM35" s="117"/>
      <c r="AN35" s="117"/>
      <c r="AO35" s="117"/>
      <c r="AP35" s="117"/>
    </row>
    <row r="36" spans="1:42">
      <c r="A36" s="72" t="s">
        <v>311</v>
      </c>
      <c r="B36" s="1918"/>
      <c r="C36" s="76"/>
      <c r="D36" s="77" t="e">
        <f t="shared" ref="D36:AB36" si="23">D24/C12</f>
        <v>#DIV/0!</v>
      </c>
      <c r="E36" s="77" t="e">
        <f t="shared" si="23"/>
        <v>#DIV/0!</v>
      </c>
      <c r="F36" s="77" t="e">
        <f t="shared" si="23"/>
        <v>#DIV/0!</v>
      </c>
      <c r="G36" s="77" t="e">
        <f t="shared" si="23"/>
        <v>#DIV/0!</v>
      </c>
      <c r="H36" s="77" t="e">
        <f t="shared" si="23"/>
        <v>#DIV/0!</v>
      </c>
      <c r="I36" s="77" t="e">
        <f t="shared" si="23"/>
        <v>#DIV/0!</v>
      </c>
      <c r="J36" s="77" t="e">
        <f t="shared" si="23"/>
        <v>#DIV/0!</v>
      </c>
      <c r="K36" s="77" t="e">
        <f t="shared" si="23"/>
        <v>#DIV/0!</v>
      </c>
      <c r="L36" s="77" t="e">
        <f t="shared" si="23"/>
        <v>#DIV/0!</v>
      </c>
      <c r="M36" s="77" t="e">
        <f t="shared" si="23"/>
        <v>#DIV/0!</v>
      </c>
      <c r="N36" s="77" t="e">
        <f t="shared" si="23"/>
        <v>#DIV/0!</v>
      </c>
      <c r="O36" s="77" t="e">
        <f t="shared" si="23"/>
        <v>#DIV/0!</v>
      </c>
      <c r="P36" s="77" t="e">
        <f t="shared" si="23"/>
        <v>#DIV/0!</v>
      </c>
      <c r="Q36" s="77" t="e">
        <f t="shared" si="23"/>
        <v>#DIV/0!</v>
      </c>
      <c r="R36" s="77" t="e">
        <f t="shared" si="23"/>
        <v>#DIV/0!</v>
      </c>
      <c r="S36" s="77" t="e">
        <f t="shared" si="23"/>
        <v>#DIV/0!</v>
      </c>
      <c r="T36" s="77" t="e">
        <f t="shared" si="23"/>
        <v>#DIV/0!</v>
      </c>
      <c r="U36" s="77" t="e">
        <f t="shared" si="23"/>
        <v>#DIV/0!</v>
      </c>
      <c r="V36" s="77" t="e">
        <f t="shared" si="23"/>
        <v>#DIV/0!</v>
      </c>
      <c r="W36" s="77" t="e">
        <f t="shared" si="23"/>
        <v>#DIV/0!</v>
      </c>
      <c r="X36" s="77">
        <f t="shared" si="23"/>
        <v>5.4668221713756009E-3</v>
      </c>
      <c r="Y36" s="77">
        <f t="shared" si="23"/>
        <v>3.5672795734643867E-3</v>
      </c>
      <c r="Z36" s="77">
        <f t="shared" si="23"/>
        <v>-8.3511148380513767E-2</v>
      </c>
      <c r="AA36" s="77">
        <f t="shared" si="23"/>
        <v>2.4607786653101558E-2</v>
      </c>
      <c r="AB36" s="77">
        <f t="shared" si="23"/>
        <v>3.4482094170274459E-2</v>
      </c>
      <c r="AC36" s="98">
        <f t="shared" si="16"/>
        <v>-3.0774331624595528E-3</v>
      </c>
      <c r="AD36" s="98">
        <f t="shared" si="17"/>
        <v>4.5170508724199938E-3</v>
      </c>
      <c r="AE36" s="117"/>
      <c r="AF36" s="117"/>
      <c r="AG36" s="117"/>
      <c r="AH36" s="117"/>
      <c r="AI36" s="117"/>
      <c r="AJ36" s="117"/>
      <c r="AK36" s="117"/>
      <c r="AL36" s="117"/>
      <c r="AM36" s="117"/>
      <c r="AN36" s="117"/>
      <c r="AO36" s="117"/>
      <c r="AP36" s="117"/>
    </row>
    <row r="37" spans="1:42">
      <c r="A37" s="72" t="s">
        <v>314</v>
      </c>
      <c r="B37" s="1919"/>
      <c r="C37" s="76"/>
      <c r="D37" s="77" t="e">
        <f t="shared" ref="D37:AB37" si="24">D25/C13</f>
        <v>#DIV/0!</v>
      </c>
      <c r="E37" s="77" t="e">
        <f t="shared" si="24"/>
        <v>#DIV/0!</v>
      </c>
      <c r="F37" s="77" t="e">
        <f t="shared" si="24"/>
        <v>#DIV/0!</v>
      </c>
      <c r="G37" s="77" t="e">
        <f t="shared" si="24"/>
        <v>#DIV/0!</v>
      </c>
      <c r="H37" s="77" t="e">
        <f t="shared" si="24"/>
        <v>#DIV/0!</v>
      </c>
      <c r="I37" s="77" t="e">
        <f t="shared" si="24"/>
        <v>#DIV/0!</v>
      </c>
      <c r="J37" s="77" t="e">
        <f t="shared" si="24"/>
        <v>#DIV/0!</v>
      </c>
      <c r="K37" s="77" t="e">
        <f t="shared" si="24"/>
        <v>#DIV/0!</v>
      </c>
      <c r="L37" s="77" t="e">
        <f t="shared" si="24"/>
        <v>#DIV/0!</v>
      </c>
      <c r="M37" s="77" t="e">
        <f t="shared" si="24"/>
        <v>#DIV/0!</v>
      </c>
      <c r="N37" s="77" t="e">
        <f t="shared" si="24"/>
        <v>#DIV/0!</v>
      </c>
      <c r="O37" s="77" t="e">
        <f t="shared" si="24"/>
        <v>#DIV/0!</v>
      </c>
      <c r="P37" s="77" t="e">
        <f t="shared" si="24"/>
        <v>#DIV/0!</v>
      </c>
      <c r="Q37" s="77" t="e">
        <f t="shared" si="24"/>
        <v>#DIV/0!</v>
      </c>
      <c r="R37" s="77" t="e">
        <f t="shared" si="24"/>
        <v>#DIV/0!</v>
      </c>
      <c r="S37" s="77" t="e">
        <f t="shared" si="24"/>
        <v>#DIV/0!</v>
      </c>
      <c r="T37" s="77" t="e">
        <f t="shared" si="24"/>
        <v>#DIV/0!</v>
      </c>
      <c r="U37" s="77" t="e">
        <f t="shared" si="24"/>
        <v>#DIV/0!</v>
      </c>
      <c r="V37" s="77" t="e">
        <f t="shared" si="24"/>
        <v>#DIV/0!</v>
      </c>
      <c r="W37" s="77" t="e">
        <f t="shared" si="24"/>
        <v>#DIV/0!</v>
      </c>
      <c r="X37" s="77" t="e">
        <f t="shared" si="24"/>
        <v>#DIV/0!</v>
      </c>
      <c r="Y37" s="77" t="e">
        <f t="shared" si="24"/>
        <v>#DIV/0!</v>
      </c>
      <c r="Z37" s="77">
        <f t="shared" si="24"/>
        <v>-5.7801331403564256E-2</v>
      </c>
      <c r="AA37" s="77">
        <f t="shared" si="24"/>
        <v>4.4661558054083905E-3</v>
      </c>
      <c r="AB37" s="77">
        <f t="shared" si="24"/>
        <v>3.1031897883186828E-2</v>
      </c>
      <c r="AC37" s="98" t="e">
        <f t="shared" si="16"/>
        <v>#DIV/0!</v>
      </c>
      <c r="AD37" s="98" t="e">
        <f t="shared" si="17"/>
        <v>#DIV/0!</v>
      </c>
      <c r="AE37" s="117"/>
      <c r="AF37" s="117"/>
      <c r="AG37" s="117"/>
      <c r="AH37" s="117"/>
      <c r="AI37" s="117"/>
      <c r="AJ37" s="117"/>
      <c r="AK37" s="117"/>
      <c r="AL37" s="117"/>
      <c r="AM37" s="117"/>
      <c r="AN37" s="117"/>
      <c r="AO37" s="117"/>
      <c r="AP37" s="117"/>
    </row>
    <row r="38" spans="1:42" s="112" customFormat="1">
      <c r="A38" s="74" t="s">
        <v>203</v>
      </c>
      <c r="B38" s="74"/>
      <c r="C38" s="75"/>
      <c r="D38" s="78" t="e">
        <f t="shared" ref="D38:AB38" si="25">D26/C14</f>
        <v>#DIV/0!</v>
      </c>
      <c r="E38" s="78" t="e">
        <f t="shared" si="25"/>
        <v>#DIV/0!</v>
      </c>
      <c r="F38" s="78" t="e">
        <f t="shared" si="25"/>
        <v>#DIV/0!</v>
      </c>
      <c r="G38" s="78" t="e">
        <f t="shared" si="25"/>
        <v>#DIV/0!</v>
      </c>
      <c r="H38" s="78" t="e">
        <f t="shared" si="25"/>
        <v>#DIV/0!</v>
      </c>
      <c r="I38" s="78" t="e">
        <f t="shared" si="25"/>
        <v>#DIV/0!</v>
      </c>
      <c r="J38" s="78" t="e">
        <f t="shared" si="25"/>
        <v>#DIV/0!</v>
      </c>
      <c r="K38" s="78" t="e">
        <f t="shared" si="25"/>
        <v>#DIV/0!</v>
      </c>
      <c r="L38" s="78" t="e">
        <f t="shared" si="25"/>
        <v>#DIV/0!</v>
      </c>
      <c r="M38" s="78" t="e">
        <f t="shared" si="25"/>
        <v>#DIV/0!</v>
      </c>
      <c r="N38" s="78" t="e">
        <f t="shared" si="25"/>
        <v>#DIV/0!</v>
      </c>
      <c r="O38" s="78" t="e">
        <f t="shared" si="25"/>
        <v>#DIV/0!</v>
      </c>
      <c r="P38" s="78" t="e">
        <f t="shared" si="25"/>
        <v>#DIV/0!</v>
      </c>
      <c r="Q38" s="78" t="e">
        <f t="shared" si="25"/>
        <v>#DIV/0!</v>
      </c>
      <c r="R38" s="78" t="e">
        <f t="shared" si="25"/>
        <v>#DIV/0!</v>
      </c>
      <c r="S38" s="78" t="e">
        <f t="shared" si="25"/>
        <v>#DIV/0!</v>
      </c>
      <c r="T38" s="78" t="e">
        <f t="shared" si="25"/>
        <v>#DIV/0!</v>
      </c>
      <c r="U38" s="78" t="e">
        <f t="shared" si="25"/>
        <v>#DIV/0!</v>
      </c>
      <c r="V38" s="78" t="e">
        <f t="shared" si="25"/>
        <v>#DIV/0!</v>
      </c>
      <c r="W38" s="78" t="e">
        <f t="shared" si="25"/>
        <v>#DIV/0!</v>
      </c>
      <c r="X38" s="78">
        <f t="shared" si="25"/>
        <v>7.8504038869941103E-2</v>
      </c>
      <c r="Y38" s="78">
        <f t="shared" si="25"/>
        <v>0.10039325545723589</v>
      </c>
      <c r="Z38" s="78">
        <f t="shared" si="25"/>
        <v>-7.7177784680111869E-2</v>
      </c>
      <c r="AA38" s="78">
        <f t="shared" si="25"/>
        <v>2.0976913695293184E-2</v>
      </c>
      <c r="AB38" s="78">
        <f t="shared" si="25"/>
        <v>5.8099058425168992E-2</v>
      </c>
      <c r="AC38" s="100">
        <f t="shared" si="16"/>
        <v>3.6159096353505463E-2</v>
      </c>
      <c r="AD38" s="100">
        <f t="shared" si="17"/>
        <v>8.9448647163588496E-2</v>
      </c>
      <c r="AE38" s="118"/>
      <c r="AF38" s="118"/>
      <c r="AG38" s="118"/>
      <c r="AH38" s="118"/>
      <c r="AI38" s="118"/>
      <c r="AJ38" s="118"/>
      <c r="AK38" s="118"/>
      <c r="AL38" s="118"/>
      <c r="AM38" s="118"/>
      <c r="AN38" s="118"/>
      <c r="AO38" s="118"/>
      <c r="AP38" s="118"/>
    </row>
  </sheetData>
  <mergeCells count="6">
    <mergeCell ref="B30:B37"/>
    <mergeCell ref="C4:AB4"/>
    <mergeCell ref="B6:B13"/>
    <mergeCell ref="C16:AB16"/>
    <mergeCell ref="B18:B25"/>
    <mergeCell ref="C28:AB28"/>
  </mergeCells>
  <pageMargins left="0.75" right="0.75" top="1" bottom="1" header="0.5" footer="0.5"/>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63"/>
  <sheetViews>
    <sheetView showGridLines="0" zoomScale="120" zoomScaleNormal="120" workbookViewId="0">
      <pane xSplit="1" ySplit="5" topLeftCell="B6" activePane="bottomRight" state="frozen"/>
      <selection pane="topRight" activeCell="B1" sqref="B1"/>
      <selection pane="bottomLeft" activeCell="A8" sqref="A8"/>
      <selection pane="bottomRight" activeCell="AC25" sqref="AC25"/>
    </sheetView>
  </sheetViews>
  <sheetFormatPr defaultColWidth="8.85546875" defaultRowHeight="12.75"/>
  <cols>
    <col min="1" max="1" width="16.7109375" style="111" customWidth="1"/>
    <col min="2" max="2" width="16.5703125" style="111" customWidth="1"/>
    <col min="3" max="3" width="11.85546875" style="111" customWidth="1"/>
    <col min="4" max="4" width="13.7109375" style="111" customWidth="1"/>
    <col min="5" max="21" width="9.85546875" style="111" hidden="1" customWidth="1"/>
    <col min="22" max="22" width="9.85546875" style="111" bestFit="1" customWidth="1"/>
    <col min="23" max="23" width="9.85546875" style="111" customWidth="1"/>
    <col min="24" max="24" width="9.85546875" style="111" bestFit="1" customWidth="1"/>
    <col min="25" max="25" width="17.5703125" style="111" customWidth="1"/>
    <col min="26" max="28" width="9.85546875" style="111" bestFit="1" customWidth="1"/>
    <col min="29" max="30" width="9.85546875" style="111" customWidth="1"/>
    <col min="31" max="41" width="10.28515625" style="111" customWidth="1"/>
    <col min="42" max="49" width="8.85546875" style="111" bestFit="1"/>
    <col min="50" max="16384" width="8.85546875" style="111"/>
  </cols>
  <sheetData>
    <row r="1" spans="1:42" ht="15">
      <c r="A1" s="62"/>
      <c r="B1" s="62"/>
      <c r="C1" s="62"/>
      <c r="D1" s="113"/>
    </row>
    <row r="2" spans="1:42">
      <c r="A2" s="114"/>
      <c r="B2" s="114"/>
    </row>
    <row r="3" spans="1:42" ht="15">
      <c r="C3" s="65"/>
      <c r="D3" s="65"/>
      <c r="E3" s="65"/>
      <c r="F3" s="65"/>
      <c r="G3" s="65"/>
      <c r="H3" s="65"/>
      <c r="I3" s="65"/>
      <c r="J3" s="65"/>
      <c r="K3" s="65"/>
      <c r="L3" s="65"/>
      <c r="M3" s="65"/>
      <c r="N3" s="65"/>
      <c r="O3" s="65"/>
      <c r="P3" s="65"/>
      <c r="Q3" s="65"/>
      <c r="R3" s="65"/>
      <c r="S3" s="65"/>
      <c r="T3" s="65"/>
      <c r="U3" s="65"/>
      <c r="V3" s="65"/>
      <c r="W3" s="65"/>
      <c r="X3" s="65"/>
      <c r="Y3" s="65"/>
      <c r="Z3" s="65"/>
      <c r="AA3" s="65"/>
      <c r="AB3" s="65"/>
    </row>
    <row r="4" spans="1:42">
      <c r="A4" s="71">
        <v>1</v>
      </c>
      <c r="B4" s="71"/>
      <c r="C4" s="1910" t="s">
        <v>361</v>
      </c>
      <c r="D4" s="1910"/>
      <c r="E4" s="1910"/>
      <c r="F4" s="1910"/>
      <c r="G4" s="1910"/>
      <c r="H4" s="1910"/>
      <c r="I4" s="1910"/>
      <c r="J4" s="1910"/>
      <c r="K4" s="1910"/>
      <c r="L4" s="1910"/>
      <c r="M4" s="1910"/>
      <c r="N4" s="1910"/>
      <c r="O4" s="1910"/>
      <c r="P4" s="1910"/>
      <c r="Q4" s="1910"/>
      <c r="R4" s="1910"/>
      <c r="S4" s="1910"/>
      <c r="T4" s="1910"/>
      <c r="U4" s="1910"/>
      <c r="V4" s="1910"/>
      <c r="W4" s="1910"/>
      <c r="X4" s="1910"/>
      <c r="Y4" s="1910"/>
      <c r="Z4" s="1910"/>
      <c r="AA4" s="1910"/>
      <c r="AB4" s="1910"/>
      <c r="AC4" s="86"/>
      <c r="AD4" s="86"/>
      <c r="AE4" s="115"/>
      <c r="AF4" s="115"/>
      <c r="AG4" s="115"/>
      <c r="AH4" s="115"/>
      <c r="AI4" s="115"/>
      <c r="AJ4" s="115"/>
      <c r="AK4" s="115"/>
      <c r="AL4" s="115"/>
      <c r="AM4" s="115"/>
      <c r="AN4" s="115"/>
      <c r="AO4" s="115"/>
      <c r="AP4" s="115"/>
    </row>
    <row r="5" spans="1:42">
      <c r="A5" s="71"/>
      <c r="B5" s="71"/>
      <c r="C5" s="72"/>
      <c r="D5" s="72" t="s">
        <v>285</v>
      </c>
      <c r="E5" s="72" t="s">
        <v>286</v>
      </c>
      <c r="F5" s="72" t="s">
        <v>287</v>
      </c>
      <c r="G5" s="72" t="s">
        <v>288</v>
      </c>
      <c r="H5" s="72" t="s">
        <v>289</v>
      </c>
      <c r="I5" s="72" t="s">
        <v>290</v>
      </c>
      <c r="J5" s="72" t="s">
        <v>291</v>
      </c>
      <c r="K5" s="72" t="s">
        <v>292</v>
      </c>
      <c r="L5" s="72" t="s">
        <v>293</v>
      </c>
      <c r="M5" s="72" t="s">
        <v>294</v>
      </c>
      <c r="N5" s="72" t="s">
        <v>295</v>
      </c>
      <c r="O5" s="72" t="s">
        <v>296</v>
      </c>
      <c r="P5" s="72" t="s">
        <v>297</v>
      </c>
      <c r="Q5" s="72" t="s">
        <v>298</v>
      </c>
      <c r="R5" s="72" t="s">
        <v>299</v>
      </c>
      <c r="S5" s="72" t="s">
        <v>300</v>
      </c>
      <c r="T5" s="72" t="s">
        <v>301</v>
      </c>
      <c r="U5" s="72" t="s">
        <v>302</v>
      </c>
      <c r="V5" s="72" t="s">
        <v>303</v>
      </c>
      <c r="W5" s="72" t="s">
        <v>304</v>
      </c>
      <c r="X5" s="72" t="s">
        <v>305</v>
      </c>
      <c r="Y5" s="72" t="s">
        <v>306</v>
      </c>
      <c r="Z5" s="72" t="s">
        <v>307</v>
      </c>
      <c r="AA5" s="72" t="s">
        <v>308</v>
      </c>
      <c r="AB5" s="72" t="s">
        <v>309</v>
      </c>
      <c r="AC5" s="72" t="s">
        <v>351</v>
      </c>
      <c r="AD5" s="72" t="s">
        <v>352</v>
      </c>
      <c r="AE5" s="72" t="s">
        <v>340</v>
      </c>
      <c r="AF5" s="72" t="s">
        <v>341</v>
      </c>
      <c r="AG5" s="72" t="s">
        <v>342</v>
      </c>
      <c r="AH5" s="72" t="s">
        <v>343</v>
      </c>
      <c r="AI5" s="72" t="s">
        <v>344</v>
      </c>
      <c r="AJ5" s="72" t="s">
        <v>345</v>
      </c>
      <c r="AK5" s="72" t="s">
        <v>346</v>
      </c>
      <c r="AL5" s="72" t="s">
        <v>347</v>
      </c>
      <c r="AM5" s="72" t="s">
        <v>348</v>
      </c>
      <c r="AN5" s="72" t="s">
        <v>349</v>
      </c>
      <c r="AO5" s="72" t="s">
        <v>350</v>
      </c>
      <c r="AP5" s="72" t="s">
        <v>353</v>
      </c>
    </row>
    <row r="6" spans="1:42">
      <c r="A6" s="72" t="s">
        <v>315</v>
      </c>
      <c r="B6" s="1917" t="s">
        <v>339</v>
      </c>
      <c r="C6" s="79"/>
      <c r="D6" s="79"/>
      <c r="E6" s="79"/>
      <c r="F6" s="79"/>
      <c r="G6" s="79"/>
      <c r="H6" s="79"/>
      <c r="I6" s="79"/>
      <c r="J6" s="79"/>
      <c r="K6" s="79"/>
      <c r="L6" s="79"/>
      <c r="M6" s="79"/>
      <c r="N6" s="79"/>
      <c r="O6" s="79"/>
      <c r="P6" s="79"/>
      <c r="Q6" s="79"/>
      <c r="R6" s="79"/>
      <c r="S6" s="79"/>
      <c r="T6" s="79"/>
      <c r="U6" s="79"/>
      <c r="V6" s="79"/>
      <c r="W6" s="119">
        <v>12955026</v>
      </c>
      <c r="X6" s="119">
        <v>12832239.16</v>
      </c>
      <c r="Y6" s="119">
        <v>12661824.41</v>
      </c>
      <c r="Z6" s="119">
        <v>8503182.2100000009</v>
      </c>
      <c r="AA6" s="119">
        <v>8542779.9299999997</v>
      </c>
      <c r="AB6" s="119">
        <v>10670100.280000001</v>
      </c>
      <c r="AC6" s="73">
        <f>AVERAGE(W6:AB6)</f>
        <v>11027525.331666667</v>
      </c>
      <c r="AD6" s="73">
        <f t="shared" ref="AD6:AD14" si="0">AVERAGE(W6:Y6)</f>
        <v>12816363.189999999</v>
      </c>
      <c r="AE6" s="120">
        <f>AB6+AB6*$AE$38</f>
        <v>11586589.525599727</v>
      </c>
      <c r="AF6" s="120">
        <f>AE6</f>
        <v>11586589.525599727</v>
      </c>
      <c r="AG6" s="120">
        <f>AF6+AF6*$AC$38</f>
        <v>11409847.32780071</v>
      </c>
      <c r="AH6" s="120">
        <f t="shared" ref="AH6:AO6" si="1">AG6+AG6*$AC$38</f>
        <v>11235801.160996299</v>
      </c>
      <c r="AI6" s="120">
        <f t="shared" si="1"/>
        <v>11064409.899845667</v>
      </c>
      <c r="AJ6" s="120">
        <f t="shared" si="1"/>
        <v>10895633.046335211</v>
      </c>
      <c r="AK6" s="120">
        <f t="shared" si="1"/>
        <v>10729430.720209291</v>
      </c>
      <c r="AL6" s="120">
        <f t="shared" si="1"/>
        <v>10565763.649546931</v>
      </c>
      <c r="AM6" s="120">
        <f t="shared" si="1"/>
        <v>10404593.16148226</v>
      </c>
      <c r="AN6" s="120">
        <f t="shared" si="1"/>
        <v>10245881.173066512</v>
      </c>
      <c r="AO6" s="120">
        <f t="shared" si="1"/>
        <v>10089590.182269406</v>
      </c>
      <c r="AP6" s="79"/>
    </row>
    <row r="7" spans="1:42">
      <c r="A7" s="72" t="s">
        <v>310</v>
      </c>
      <c r="B7" s="1918"/>
      <c r="C7" s="79"/>
      <c r="D7" s="79"/>
      <c r="E7" s="79"/>
      <c r="F7" s="79"/>
      <c r="G7" s="79"/>
      <c r="H7" s="79"/>
      <c r="I7" s="79"/>
      <c r="J7" s="79"/>
      <c r="K7" s="79"/>
      <c r="L7" s="79"/>
      <c r="M7" s="79"/>
      <c r="N7" s="79"/>
      <c r="O7" s="79"/>
      <c r="P7" s="79"/>
      <c r="Q7" s="79"/>
      <c r="R7" s="79"/>
      <c r="S7" s="79"/>
      <c r="T7" s="79"/>
      <c r="U7" s="79"/>
      <c r="V7" s="79"/>
      <c r="W7" s="119">
        <v>16780921.152978782</v>
      </c>
      <c r="X7" s="119">
        <v>18377003.204172336</v>
      </c>
      <c r="Y7" s="119">
        <v>18114987.191573545</v>
      </c>
      <c r="Z7" s="119">
        <v>13323437.170688502</v>
      </c>
      <c r="AA7" s="119">
        <v>14709641.29173737</v>
      </c>
      <c r="AB7" s="119">
        <v>16211799.791884447</v>
      </c>
      <c r="AC7" s="73">
        <f>AVERAGE(W7:AB7)</f>
        <v>16252964.967172498</v>
      </c>
      <c r="AD7" s="73">
        <f t="shared" si="0"/>
        <v>17757637.182908222</v>
      </c>
      <c r="AE7" s="120">
        <f t="shared" ref="AE7:AE11" si="2">AB7+AB7*$AE$38</f>
        <v>17604283.439758651</v>
      </c>
      <c r="AF7" s="120">
        <f t="shared" ref="AF7:AF13" si="3">AE7</f>
        <v>17604283.439758651</v>
      </c>
      <c r="AG7" s="120">
        <f t="shared" ref="AG7:AO7" si="4">AF7+AF7*$AC$38</f>
        <v>17335747.151410352</v>
      </c>
      <c r="AH7" s="120">
        <f t="shared" si="4"/>
        <v>17071307.123975296</v>
      </c>
      <c r="AI7" s="120">
        <f t="shared" si="4"/>
        <v>16810900.872961819</v>
      </c>
      <c r="AJ7" s="120">
        <f t="shared" si="4"/>
        <v>16554466.867018649</v>
      </c>
      <c r="AK7" s="120">
        <f t="shared" si="4"/>
        <v>16301944.513395661</v>
      </c>
      <c r="AL7" s="120">
        <f t="shared" si="4"/>
        <v>16053274.143626429</v>
      </c>
      <c r="AM7" s="120">
        <f t="shared" si="4"/>
        <v>15808396.999429174</v>
      </c>
      <c r="AN7" s="120">
        <f t="shared" si="4"/>
        <v>15567255.218822779</v>
      </c>
      <c r="AO7" s="120">
        <f t="shared" si="4"/>
        <v>15329791.822454592</v>
      </c>
      <c r="AP7" s="79"/>
    </row>
    <row r="8" spans="1:42">
      <c r="A8" s="72" t="s">
        <v>317</v>
      </c>
      <c r="B8" s="1918"/>
      <c r="C8" s="79"/>
      <c r="D8" s="79"/>
      <c r="E8" s="79"/>
      <c r="F8" s="79"/>
      <c r="G8" s="79"/>
      <c r="H8" s="79"/>
      <c r="I8" s="79"/>
      <c r="J8" s="79"/>
      <c r="K8" s="79"/>
      <c r="L8" s="79"/>
      <c r="M8" s="79"/>
      <c r="N8" s="79"/>
      <c r="O8" s="79"/>
      <c r="P8" s="79"/>
      <c r="Q8" s="79"/>
      <c r="R8" s="79"/>
      <c r="S8" s="79"/>
      <c r="T8" s="79"/>
      <c r="U8" s="79"/>
      <c r="V8" s="79"/>
      <c r="W8" s="120">
        <f>W44*W56</f>
        <v>8679495.552674165</v>
      </c>
      <c r="X8" s="120">
        <f t="shared" ref="X8:AB8" si="5">X44*X56</f>
        <v>8789550.1125262007</v>
      </c>
      <c r="Y8" s="120">
        <f t="shared" si="5"/>
        <v>8631579.1089131646</v>
      </c>
      <c r="Z8" s="120">
        <f t="shared" si="5"/>
        <v>5807120.7736027045</v>
      </c>
      <c r="AA8" s="120">
        <f t="shared" si="5"/>
        <v>5497660.7758860933</v>
      </c>
      <c r="AB8" s="120">
        <f t="shared" si="5"/>
        <v>7459873.6872302499</v>
      </c>
      <c r="AC8" s="73">
        <f t="shared" ref="AC8:AC11" si="6">AVERAGE(W8:AB8)</f>
        <v>7477546.6684720973</v>
      </c>
      <c r="AD8" s="73">
        <f t="shared" si="0"/>
        <v>8700208.2580378447</v>
      </c>
      <c r="AE8" s="120">
        <f t="shared" si="2"/>
        <v>8100626.2414207626</v>
      </c>
      <c r="AF8" s="120">
        <f t="shared" si="3"/>
        <v>8100626.2414207626</v>
      </c>
      <c r="AG8" s="120">
        <f t="shared" ref="AG8:AO8" si="7">AF8+AF8*$AC$38</f>
        <v>7977059.0362225613</v>
      </c>
      <c r="AH8" s="120">
        <f t="shared" si="7"/>
        <v>7855376.7290242733</v>
      </c>
      <c r="AI8" s="120">
        <f t="shared" si="7"/>
        <v>7735550.5675330516</v>
      </c>
      <c r="AJ8" s="120">
        <f t="shared" si="7"/>
        <v>7617552.2380444203</v>
      </c>
      <c r="AK8" s="120">
        <f t="shared" si="7"/>
        <v>7501353.8587520365</v>
      </c>
      <c r="AL8" s="120">
        <f t="shared" si="7"/>
        <v>7386927.9731594976</v>
      </c>
      <c r="AM8" s="120">
        <f t="shared" si="7"/>
        <v>7274247.5435926551</v>
      </c>
      <c r="AN8" s="120">
        <f t="shared" si="7"/>
        <v>7163285.9448108831</v>
      </c>
      <c r="AO8" s="120">
        <f t="shared" si="7"/>
        <v>7054016.9577158075</v>
      </c>
      <c r="AP8" s="79"/>
    </row>
    <row r="9" spans="1:42">
      <c r="A9" s="72" t="s">
        <v>313</v>
      </c>
      <c r="B9" s="1918"/>
      <c r="C9" s="79"/>
      <c r="D9" s="79"/>
      <c r="E9" s="79"/>
      <c r="F9" s="79"/>
      <c r="G9" s="79"/>
      <c r="H9" s="79"/>
      <c r="I9" s="79"/>
      <c r="J9" s="79"/>
      <c r="K9" s="79"/>
      <c r="L9" s="79"/>
      <c r="M9" s="79"/>
      <c r="N9" s="79"/>
      <c r="O9" s="79"/>
      <c r="P9" s="79"/>
      <c r="Q9" s="79"/>
      <c r="R9" s="79"/>
      <c r="S9" s="79"/>
      <c r="T9" s="79"/>
      <c r="U9" s="79"/>
      <c r="V9" s="79"/>
      <c r="W9" s="119">
        <v>10779503.135000002</v>
      </c>
      <c r="X9" s="119">
        <v>10429794.870096665</v>
      </c>
      <c r="Y9" s="119">
        <v>10216322.829999998</v>
      </c>
      <c r="Z9" s="119">
        <v>6980978.7100000009</v>
      </c>
      <c r="AA9" s="119">
        <v>7252348.8500000034</v>
      </c>
      <c r="AB9" s="119">
        <v>9450228.9899999984</v>
      </c>
      <c r="AC9" s="73">
        <f t="shared" si="6"/>
        <v>9184862.8975161109</v>
      </c>
      <c r="AD9" s="73">
        <f t="shared" si="0"/>
        <v>10475206.945032222</v>
      </c>
      <c r="AE9" s="119">
        <v>9575717.5399999954</v>
      </c>
      <c r="AF9" s="120">
        <f t="shared" si="3"/>
        <v>9575717.5399999954</v>
      </c>
      <c r="AG9" s="120">
        <f t="shared" ref="AG9:AO9" si="8">AF9+AF9*$AC$38</f>
        <v>9429649.2461519316</v>
      </c>
      <c r="AH9" s="120">
        <f t="shared" si="8"/>
        <v>9285809.0826114453</v>
      </c>
      <c r="AI9" s="120">
        <f t="shared" si="8"/>
        <v>9144163.061409371</v>
      </c>
      <c r="AJ9" s="120">
        <f t="shared" si="8"/>
        <v>9004677.7130300831</v>
      </c>
      <c r="AK9" s="120">
        <f t="shared" si="8"/>
        <v>8867320.0785029903</v>
      </c>
      <c r="AL9" s="120">
        <f t="shared" si="8"/>
        <v>8732057.7016146667</v>
      </c>
      <c r="AM9" s="120">
        <f t="shared" si="8"/>
        <v>8598858.6212397758</v>
      </c>
      <c r="AN9" s="120">
        <f t="shared" si="8"/>
        <v>8467691.3637889866</v>
      </c>
      <c r="AO9" s="120">
        <f t="shared" si="8"/>
        <v>8338524.935772079</v>
      </c>
      <c r="AP9" s="79"/>
    </row>
    <row r="10" spans="1:42">
      <c r="A10" s="72" t="s">
        <v>316</v>
      </c>
      <c r="B10" s="1918"/>
      <c r="C10" s="79"/>
      <c r="D10" s="79"/>
      <c r="E10" s="79"/>
      <c r="F10" s="79"/>
      <c r="G10" s="79"/>
      <c r="H10" s="79"/>
      <c r="I10" s="79"/>
      <c r="J10" s="79"/>
      <c r="K10" s="79"/>
      <c r="L10" s="79"/>
      <c r="M10" s="79"/>
      <c r="N10" s="79"/>
      <c r="O10" s="79"/>
      <c r="P10" s="79"/>
      <c r="Q10" s="79"/>
      <c r="R10" s="79"/>
      <c r="S10" s="79"/>
      <c r="T10" s="79"/>
      <c r="U10" s="79"/>
      <c r="V10" s="79"/>
      <c r="W10" s="120">
        <f>W46*W58</f>
        <v>9681734.9532229975</v>
      </c>
      <c r="X10" s="120">
        <f t="shared" ref="X10:AB10" si="9">X46*X58</f>
        <v>9373945.2574896943</v>
      </c>
      <c r="Y10" s="120">
        <f t="shared" si="9"/>
        <v>8975445.6461032573</v>
      </c>
      <c r="Z10" s="120">
        <f t="shared" si="9"/>
        <v>6120019.3846289422</v>
      </c>
      <c r="AA10" s="120">
        <f t="shared" si="9"/>
        <v>6683391.8030551663</v>
      </c>
      <c r="AB10" s="120">
        <f t="shared" si="9"/>
        <v>8269362.3966855314</v>
      </c>
      <c r="AC10" s="73">
        <f t="shared" si="6"/>
        <v>8183983.2401975989</v>
      </c>
      <c r="AD10" s="73">
        <f t="shared" si="0"/>
        <v>9343708.6189386491</v>
      </c>
      <c r="AE10" s="120">
        <f t="shared" si="2"/>
        <v>8979644.540775096</v>
      </c>
      <c r="AF10" s="120">
        <f t="shared" si="3"/>
        <v>8979644.540775096</v>
      </c>
      <c r="AG10" s="120">
        <f t="shared" ref="AG10:AO10" si="10">AF10+AF10*$AC$38</f>
        <v>8842668.7630379107</v>
      </c>
      <c r="AH10" s="120">
        <f t="shared" si="10"/>
        <v>8707782.4180841185</v>
      </c>
      <c r="AI10" s="120">
        <f t="shared" si="10"/>
        <v>8574953.6336409096</v>
      </c>
      <c r="AJ10" s="120">
        <f t="shared" si="10"/>
        <v>8444151.0236161165</v>
      </c>
      <c r="AK10" s="120">
        <f t="shared" si="10"/>
        <v>8315343.6806820016</v>
      </c>
      <c r="AL10" s="120">
        <f t="shared" si="10"/>
        <v>8188501.1689721681</v>
      </c>
      <c r="AM10" s="120">
        <f t="shared" si="10"/>
        <v>8063593.516889873</v>
      </c>
      <c r="AN10" s="120">
        <f t="shared" si="10"/>
        <v>7940591.2100260453</v>
      </c>
      <c r="AO10" s="120">
        <f t="shared" si="10"/>
        <v>7819465.1841853289</v>
      </c>
      <c r="AP10" s="79"/>
    </row>
    <row r="11" spans="1:42">
      <c r="A11" s="72" t="s">
        <v>312</v>
      </c>
      <c r="B11" s="1918"/>
      <c r="C11" s="79"/>
      <c r="D11" s="79"/>
      <c r="E11" s="79"/>
      <c r="F11" s="79"/>
      <c r="G11" s="79"/>
      <c r="H11" s="79"/>
      <c r="I11" s="79"/>
      <c r="J11" s="79"/>
      <c r="K11" s="79"/>
      <c r="L11" s="79"/>
      <c r="M11" s="79"/>
      <c r="N11" s="79"/>
      <c r="O11" s="79"/>
      <c r="P11" s="79"/>
      <c r="Q11" s="79"/>
      <c r="R11" s="79"/>
      <c r="S11" s="79"/>
      <c r="T11" s="79"/>
      <c r="U11" s="79"/>
      <c r="V11" s="79"/>
      <c r="W11" s="119">
        <v>11883462.300000001</v>
      </c>
      <c r="X11" s="119">
        <v>11427887.689999999</v>
      </c>
      <c r="Y11" s="119">
        <v>11439167.07</v>
      </c>
      <c r="Z11" s="119">
        <v>7878049.1399999997</v>
      </c>
      <c r="AA11" s="119">
        <v>8636362.7199999988</v>
      </c>
      <c r="AB11" s="119">
        <v>10599397.299999999</v>
      </c>
      <c r="AC11" s="73">
        <f t="shared" si="6"/>
        <v>10310721.036666667</v>
      </c>
      <c r="AD11" s="73">
        <f t="shared" si="0"/>
        <v>11583505.686666667</v>
      </c>
      <c r="AE11" s="120">
        <f t="shared" si="2"/>
        <v>11509813.639150729</v>
      </c>
      <c r="AF11" s="120">
        <f t="shared" si="3"/>
        <v>11509813.639150729</v>
      </c>
      <c r="AG11" s="120">
        <f t="shared" ref="AG11:AO11" si="11">AF11+AF11*$AC$38</f>
        <v>11334242.583116852</v>
      </c>
      <c r="AH11" s="120">
        <f t="shared" si="11"/>
        <v>11161349.693444591</v>
      </c>
      <c r="AI11" s="120">
        <f t="shared" si="11"/>
        <v>10991094.117300782</v>
      </c>
      <c r="AJ11" s="120">
        <f t="shared" si="11"/>
        <v>10823435.625022653</v>
      </c>
      <c r="AK11" s="120">
        <f t="shared" si="11"/>
        <v>10658334.600611962</v>
      </c>
      <c r="AL11" s="120">
        <f t="shared" si="11"/>
        <v>10495752.032374138</v>
      </c>
      <c r="AM11" s="120">
        <f t="shared" si="11"/>
        <v>10335649.503700214</v>
      </c>
      <c r="AN11" s="120">
        <f t="shared" si="11"/>
        <v>10177989.183989374</v>
      </c>
      <c r="AO11" s="120">
        <f t="shared" si="11"/>
        <v>10022733.81970997</v>
      </c>
      <c r="AP11" s="79"/>
    </row>
    <row r="12" spans="1:42">
      <c r="A12" s="72" t="s">
        <v>311</v>
      </c>
      <c r="B12" s="1918"/>
      <c r="C12" s="79"/>
      <c r="D12" s="79"/>
      <c r="E12" s="79"/>
      <c r="F12" s="79"/>
      <c r="G12" s="79"/>
      <c r="H12" s="79"/>
      <c r="I12" s="79"/>
      <c r="J12" s="79"/>
      <c r="K12" s="79"/>
      <c r="L12" s="79"/>
      <c r="M12" s="79"/>
      <c r="N12" s="79"/>
      <c r="O12" s="79"/>
      <c r="P12" s="79"/>
      <c r="Q12" s="79"/>
      <c r="R12" s="79"/>
      <c r="S12" s="79"/>
      <c r="T12" s="79"/>
      <c r="U12" s="79"/>
      <c r="V12" s="79"/>
      <c r="W12" s="119">
        <v>8957622</v>
      </c>
      <c r="X12" s="119">
        <v>8611095</v>
      </c>
      <c r="Y12" s="119">
        <v>8460708</v>
      </c>
      <c r="Z12" s="119">
        <v>5303055</v>
      </c>
      <c r="AA12" s="119">
        <v>5349701</v>
      </c>
      <c r="AB12" s="119">
        <v>6695637</v>
      </c>
      <c r="AC12" s="73">
        <f>AVERAGE(W12:AB12,AE12)</f>
        <v>7295543.1428571427</v>
      </c>
      <c r="AD12" s="73">
        <f t="shared" si="0"/>
        <v>8676475</v>
      </c>
      <c r="AE12" s="119">
        <v>7690984</v>
      </c>
      <c r="AF12" s="120">
        <f t="shared" si="3"/>
        <v>7690984</v>
      </c>
      <c r="AG12" s="120">
        <f t="shared" ref="AG12:AO12" si="12">AF12+AF12*$AC$38</f>
        <v>7573665.4903217414</v>
      </c>
      <c r="AH12" s="120">
        <f t="shared" si="12"/>
        <v>7458136.5608471502</v>
      </c>
      <c r="AI12" s="120">
        <f t="shared" si="12"/>
        <v>7344369.9132640157</v>
      </c>
      <c r="AJ12" s="120">
        <f t="shared" si="12"/>
        <v>7232338.6656694328</v>
      </c>
      <c r="AK12" s="120">
        <f t="shared" si="12"/>
        <v>7122016.3462178791</v>
      </c>
      <c r="AL12" s="120">
        <f t="shared" si="12"/>
        <v>7013376.8868661914</v>
      </c>
      <c r="AM12" s="120">
        <f t="shared" si="12"/>
        <v>6906394.6172139477</v>
      </c>
      <c r="AN12" s="120">
        <f t="shared" si="12"/>
        <v>6801044.2584378161</v>
      </c>
      <c r="AO12" s="120">
        <f t="shared" si="12"/>
        <v>6697300.9173184214</v>
      </c>
      <c r="AP12" s="79"/>
    </row>
    <row r="13" spans="1:42">
      <c r="A13" s="72" t="s">
        <v>314</v>
      </c>
      <c r="B13" s="1919"/>
      <c r="C13" s="79"/>
      <c r="D13" s="79"/>
      <c r="E13" s="79"/>
      <c r="F13" s="79"/>
      <c r="G13" s="79"/>
      <c r="H13" s="79"/>
      <c r="I13" s="79"/>
      <c r="J13" s="79"/>
      <c r="K13" s="79"/>
      <c r="L13" s="79"/>
      <c r="M13" s="79"/>
      <c r="N13" s="79"/>
      <c r="O13" s="79"/>
      <c r="P13" s="79"/>
      <c r="Q13" s="79"/>
      <c r="R13" s="79"/>
      <c r="S13" s="79"/>
      <c r="T13" s="79"/>
      <c r="U13" s="79"/>
      <c r="V13" s="79"/>
      <c r="W13" s="120">
        <f>W49*W61</f>
        <v>15624625.036384137</v>
      </c>
      <c r="X13" s="120">
        <f>X49*X61</f>
        <v>15398907.961799851</v>
      </c>
      <c r="Y13" s="119">
        <v>12527393</v>
      </c>
      <c r="Z13" s="119">
        <v>9456156</v>
      </c>
      <c r="AA13" s="119">
        <v>9729074</v>
      </c>
      <c r="AB13" s="119">
        <v>11988257</v>
      </c>
      <c r="AC13" s="73">
        <f>AVERAGE(W13:AB13,AE13)</f>
        <v>12659162.142597714</v>
      </c>
      <c r="AD13" s="73">
        <f t="shared" si="0"/>
        <v>14516975.332727997</v>
      </c>
      <c r="AE13" s="119">
        <v>13889722</v>
      </c>
      <c r="AF13" s="120">
        <f t="shared" si="3"/>
        <v>13889722</v>
      </c>
      <c r="AG13" s="120">
        <f t="shared" ref="AG13:AO13" si="13">AF13+AF13*$AC$38</f>
        <v>13677847.747643562</v>
      </c>
      <c r="AH13" s="120">
        <f t="shared" si="13"/>
        <v>13469205.431737084</v>
      </c>
      <c r="AI13" s="120">
        <f t="shared" si="13"/>
        <v>13263745.752221212</v>
      </c>
      <c r="AJ13" s="120">
        <f t="shared" si="13"/>
        <v>13061420.161061235</v>
      </c>
      <c r="AK13" s="120">
        <f t="shared" si="13"/>
        <v>12862180.850775676</v>
      </c>
      <c r="AL13" s="120">
        <f t="shared" si="13"/>
        <v>12665980.743139872</v>
      </c>
      <c r="AM13" s="120">
        <f t="shared" si="13"/>
        <v>12472773.478061868</v>
      </c>
      <c r="AN13" s="120">
        <f t="shared" si="13"/>
        <v>12282513.402627992</v>
      </c>
      <c r="AO13" s="120">
        <f t="shared" si="13"/>
        <v>12095155.560315544</v>
      </c>
      <c r="AP13" s="79"/>
    </row>
    <row r="14" spans="1:42" s="112" customFormat="1">
      <c r="A14" s="74" t="s">
        <v>203</v>
      </c>
      <c r="B14" s="74"/>
      <c r="C14" s="80"/>
      <c r="D14" s="80">
        <f t="shared" ref="D14:AP14" si="14">SUM(D6:D13)</f>
        <v>0</v>
      </c>
      <c r="E14" s="80">
        <f t="shared" si="14"/>
        <v>0</v>
      </c>
      <c r="F14" s="80">
        <f t="shared" si="14"/>
        <v>0</v>
      </c>
      <c r="G14" s="80">
        <f t="shared" si="14"/>
        <v>0</v>
      </c>
      <c r="H14" s="80">
        <f t="shared" si="14"/>
        <v>0</v>
      </c>
      <c r="I14" s="80">
        <f t="shared" si="14"/>
        <v>0</v>
      </c>
      <c r="J14" s="80">
        <f t="shared" si="14"/>
        <v>0</v>
      </c>
      <c r="K14" s="80">
        <f t="shared" si="14"/>
        <v>0</v>
      </c>
      <c r="L14" s="80">
        <f t="shared" si="14"/>
        <v>0</v>
      </c>
      <c r="M14" s="80">
        <f t="shared" si="14"/>
        <v>0</v>
      </c>
      <c r="N14" s="80">
        <f t="shared" si="14"/>
        <v>0</v>
      </c>
      <c r="O14" s="80">
        <f t="shared" si="14"/>
        <v>0</v>
      </c>
      <c r="P14" s="80">
        <f t="shared" si="14"/>
        <v>0</v>
      </c>
      <c r="Q14" s="80">
        <f t="shared" si="14"/>
        <v>0</v>
      </c>
      <c r="R14" s="80">
        <f t="shared" si="14"/>
        <v>0</v>
      </c>
      <c r="S14" s="80">
        <f t="shared" si="14"/>
        <v>0</v>
      </c>
      <c r="T14" s="80">
        <f t="shared" si="14"/>
        <v>0</v>
      </c>
      <c r="U14" s="80">
        <f t="shared" si="14"/>
        <v>0</v>
      </c>
      <c r="V14" s="80">
        <f t="shared" si="14"/>
        <v>0</v>
      </c>
      <c r="W14" s="80">
        <f t="shared" si="14"/>
        <v>95342390.13026008</v>
      </c>
      <c r="X14" s="80">
        <f t="shared" si="14"/>
        <v>95240423.25608474</v>
      </c>
      <c r="Y14" s="80">
        <f t="shared" si="14"/>
        <v>91027427.256589964</v>
      </c>
      <c r="Z14" s="80">
        <f t="shared" si="14"/>
        <v>63371998.388920151</v>
      </c>
      <c r="AA14" s="80">
        <f t="shared" si="14"/>
        <v>66400960.370678633</v>
      </c>
      <c r="AB14" s="80">
        <f t="shared" si="14"/>
        <v>81344656.445800215</v>
      </c>
      <c r="AC14" s="75">
        <f t="shared" si="14"/>
        <v>82392309.427146509</v>
      </c>
      <c r="AD14" s="101">
        <f t="shared" si="0"/>
        <v>93870080.2143116</v>
      </c>
      <c r="AE14" s="80">
        <f t="shared" si="14"/>
        <v>88937380.926704958</v>
      </c>
      <c r="AF14" s="80">
        <f t="shared" si="14"/>
        <v>88937380.926704958</v>
      </c>
      <c r="AG14" s="80">
        <f t="shared" si="14"/>
        <v>87580727.345705628</v>
      </c>
      <c r="AH14" s="80">
        <f t="shared" si="14"/>
        <v>86244768.200720251</v>
      </c>
      <c r="AI14" s="80">
        <f t="shared" si="14"/>
        <v>84929187.818176836</v>
      </c>
      <c r="AJ14" s="80">
        <f t="shared" si="14"/>
        <v>83633675.339797795</v>
      </c>
      <c r="AK14" s="80">
        <f t="shared" si="14"/>
        <v>82357924.649147496</v>
      </c>
      <c r="AL14" s="80">
        <f t="shared" si="14"/>
        <v>81101634.299299896</v>
      </c>
      <c r="AM14" s="80">
        <f t="shared" si="14"/>
        <v>79864507.441609755</v>
      </c>
      <c r="AN14" s="80">
        <f t="shared" si="14"/>
        <v>78646251.755570382</v>
      </c>
      <c r="AO14" s="80">
        <f t="shared" si="14"/>
        <v>77446579.379741147</v>
      </c>
      <c r="AP14" s="80">
        <f t="shared" si="14"/>
        <v>0</v>
      </c>
    </row>
    <row r="16" spans="1:42">
      <c r="A16" s="71">
        <v>2</v>
      </c>
      <c r="B16" s="71"/>
      <c r="C16" s="1910" t="s">
        <v>362</v>
      </c>
      <c r="D16" s="1910"/>
      <c r="E16" s="1910"/>
      <c r="F16" s="1910"/>
      <c r="G16" s="1910"/>
      <c r="H16" s="1910"/>
      <c r="I16" s="1910"/>
      <c r="J16" s="1910"/>
      <c r="K16" s="1910"/>
      <c r="L16" s="1910"/>
      <c r="M16" s="1910"/>
      <c r="N16" s="1910"/>
      <c r="O16" s="1910"/>
      <c r="P16" s="1910"/>
      <c r="Q16" s="1910"/>
      <c r="R16" s="1910"/>
      <c r="S16" s="1910"/>
      <c r="T16" s="1910"/>
      <c r="U16" s="1910"/>
      <c r="V16" s="1910"/>
      <c r="W16" s="1910"/>
      <c r="X16" s="1910"/>
      <c r="Y16" s="1910"/>
      <c r="Z16" s="1910"/>
      <c r="AA16" s="1910"/>
      <c r="AB16" s="1910"/>
      <c r="AC16" s="86"/>
      <c r="AD16" s="86"/>
      <c r="AE16" s="115"/>
      <c r="AF16" s="115"/>
      <c r="AG16" s="115"/>
      <c r="AH16" s="115"/>
      <c r="AI16" s="115"/>
      <c r="AJ16" s="115"/>
      <c r="AK16" s="115"/>
      <c r="AL16" s="115"/>
      <c r="AM16" s="115"/>
      <c r="AN16" s="115"/>
      <c r="AO16" s="115"/>
      <c r="AP16" s="115"/>
    </row>
    <row r="17" spans="1:42">
      <c r="A17" s="71"/>
      <c r="B17" s="71"/>
      <c r="C17" s="72" t="s">
        <v>284</v>
      </c>
      <c r="D17" s="72" t="s">
        <v>285</v>
      </c>
      <c r="E17" s="72" t="s">
        <v>286</v>
      </c>
      <c r="F17" s="72" t="s">
        <v>287</v>
      </c>
      <c r="G17" s="72" t="s">
        <v>288</v>
      </c>
      <c r="H17" s="72" t="s">
        <v>289</v>
      </c>
      <c r="I17" s="72" t="s">
        <v>290</v>
      </c>
      <c r="J17" s="72" t="s">
        <v>291</v>
      </c>
      <c r="K17" s="72" t="s">
        <v>292</v>
      </c>
      <c r="L17" s="72" t="s">
        <v>293</v>
      </c>
      <c r="M17" s="72" t="s">
        <v>294</v>
      </c>
      <c r="N17" s="72" t="s">
        <v>295</v>
      </c>
      <c r="O17" s="72" t="s">
        <v>296</v>
      </c>
      <c r="P17" s="72" t="s">
        <v>297</v>
      </c>
      <c r="Q17" s="72" t="s">
        <v>298</v>
      </c>
      <c r="R17" s="72" t="s">
        <v>299</v>
      </c>
      <c r="S17" s="72" t="s">
        <v>300</v>
      </c>
      <c r="T17" s="72" t="s">
        <v>301</v>
      </c>
      <c r="U17" s="72" t="s">
        <v>302</v>
      </c>
      <c r="V17" s="72" t="s">
        <v>303</v>
      </c>
      <c r="W17" s="72" t="s">
        <v>304</v>
      </c>
      <c r="X17" s="72" t="s">
        <v>305</v>
      </c>
      <c r="Y17" s="72" t="s">
        <v>306</v>
      </c>
      <c r="Z17" s="72" t="s">
        <v>307</v>
      </c>
      <c r="AA17" s="72" t="s">
        <v>308</v>
      </c>
      <c r="AB17" s="72" t="s">
        <v>309</v>
      </c>
      <c r="AC17" s="72" t="s">
        <v>351</v>
      </c>
      <c r="AD17" s="72" t="s">
        <v>352</v>
      </c>
      <c r="AE17" s="72" t="s">
        <v>340</v>
      </c>
      <c r="AF17" s="72" t="s">
        <v>341</v>
      </c>
      <c r="AG17" s="72" t="s">
        <v>342</v>
      </c>
      <c r="AH17" s="72" t="s">
        <v>343</v>
      </c>
      <c r="AI17" s="72" t="s">
        <v>344</v>
      </c>
      <c r="AJ17" s="72" t="s">
        <v>345</v>
      </c>
      <c r="AK17" s="72" t="s">
        <v>346</v>
      </c>
      <c r="AL17" s="72" t="s">
        <v>347</v>
      </c>
      <c r="AM17" s="72" t="s">
        <v>348</v>
      </c>
      <c r="AN17" s="72" t="s">
        <v>349</v>
      </c>
      <c r="AO17" s="72" t="s">
        <v>350</v>
      </c>
      <c r="AP17" s="72" t="s">
        <v>353</v>
      </c>
    </row>
    <row r="18" spans="1:42">
      <c r="A18" s="72" t="s">
        <v>315</v>
      </c>
      <c r="B18" s="1917" t="s">
        <v>339</v>
      </c>
      <c r="C18" s="76"/>
      <c r="D18" s="76">
        <f t="shared" ref="D18:V18" si="15">D6-C6</f>
        <v>0</v>
      </c>
      <c r="E18" s="76">
        <f t="shared" si="15"/>
        <v>0</v>
      </c>
      <c r="F18" s="76">
        <f t="shared" si="15"/>
        <v>0</v>
      </c>
      <c r="G18" s="76">
        <f t="shared" si="15"/>
        <v>0</v>
      </c>
      <c r="H18" s="76">
        <f t="shared" si="15"/>
        <v>0</v>
      </c>
      <c r="I18" s="76">
        <f t="shared" si="15"/>
        <v>0</v>
      </c>
      <c r="J18" s="76">
        <f t="shared" si="15"/>
        <v>0</v>
      </c>
      <c r="K18" s="76">
        <f t="shared" si="15"/>
        <v>0</v>
      </c>
      <c r="L18" s="76">
        <f t="shared" si="15"/>
        <v>0</v>
      </c>
      <c r="M18" s="76">
        <f t="shared" si="15"/>
        <v>0</v>
      </c>
      <c r="N18" s="76">
        <f t="shared" si="15"/>
        <v>0</v>
      </c>
      <c r="O18" s="76">
        <f t="shared" si="15"/>
        <v>0</v>
      </c>
      <c r="P18" s="76">
        <f t="shared" si="15"/>
        <v>0</v>
      </c>
      <c r="Q18" s="76">
        <f t="shared" si="15"/>
        <v>0</v>
      </c>
      <c r="R18" s="76">
        <f t="shared" si="15"/>
        <v>0</v>
      </c>
      <c r="S18" s="76">
        <f t="shared" si="15"/>
        <v>0</v>
      </c>
      <c r="T18" s="76">
        <f t="shared" si="15"/>
        <v>0</v>
      </c>
      <c r="U18" s="76">
        <f t="shared" si="15"/>
        <v>0</v>
      </c>
      <c r="V18" s="76">
        <f t="shared" si="15"/>
        <v>0</v>
      </c>
      <c r="W18" s="76"/>
      <c r="X18" s="316">
        <f t="shared" ref="X18:AB25" si="16">X6-W6</f>
        <v>-122786.83999999985</v>
      </c>
      <c r="Y18" s="316">
        <f t="shared" si="16"/>
        <v>-170414.75</v>
      </c>
      <c r="Z18" s="316">
        <f t="shared" si="16"/>
        <v>-4158642.1999999993</v>
      </c>
      <c r="AA18" s="316">
        <f t="shared" si="16"/>
        <v>39597.719999998808</v>
      </c>
      <c r="AB18" s="316">
        <f t="shared" si="16"/>
        <v>2127320.3500000015</v>
      </c>
      <c r="AC18" s="168">
        <f t="shared" ref="AC18:AC25" si="17">AVERAGE(S18:AB18)</f>
        <v>-253880.63555555543</v>
      </c>
      <c r="AD18" s="168">
        <f t="shared" ref="AD18:AD26" si="18">AVERAGE(W18:Y18)</f>
        <v>-146600.79499999993</v>
      </c>
      <c r="AE18" s="79"/>
      <c r="AF18" s="79"/>
      <c r="AG18" s="79"/>
      <c r="AH18" s="79"/>
      <c r="AI18" s="79"/>
      <c r="AJ18" s="79"/>
      <c r="AK18" s="79"/>
      <c r="AL18" s="79"/>
      <c r="AM18" s="79"/>
      <c r="AN18" s="79"/>
      <c r="AO18" s="79"/>
      <c r="AP18" s="79"/>
    </row>
    <row r="19" spans="1:42">
      <c r="A19" s="72" t="s">
        <v>310</v>
      </c>
      <c r="B19" s="1918"/>
      <c r="C19" s="76"/>
      <c r="D19" s="76">
        <f t="shared" ref="D19:V19" si="19">D7-C7</f>
        <v>0</v>
      </c>
      <c r="E19" s="76">
        <f t="shared" si="19"/>
        <v>0</v>
      </c>
      <c r="F19" s="76">
        <f t="shared" si="19"/>
        <v>0</v>
      </c>
      <c r="G19" s="76">
        <f t="shared" si="19"/>
        <v>0</v>
      </c>
      <c r="H19" s="76">
        <f t="shared" si="19"/>
        <v>0</v>
      </c>
      <c r="I19" s="76">
        <f t="shared" si="19"/>
        <v>0</v>
      </c>
      <c r="J19" s="76">
        <f t="shared" si="19"/>
        <v>0</v>
      </c>
      <c r="K19" s="76">
        <f t="shared" si="19"/>
        <v>0</v>
      </c>
      <c r="L19" s="76">
        <f t="shared" si="19"/>
        <v>0</v>
      </c>
      <c r="M19" s="76">
        <f t="shared" si="19"/>
        <v>0</v>
      </c>
      <c r="N19" s="76">
        <f t="shared" si="19"/>
        <v>0</v>
      </c>
      <c r="O19" s="76">
        <f t="shared" si="19"/>
        <v>0</v>
      </c>
      <c r="P19" s="76">
        <f t="shared" si="19"/>
        <v>0</v>
      </c>
      <c r="Q19" s="76">
        <f t="shared" si="19"/>
        <v>0</v>
      </c>
      <c r="R19" s="76">
        <f t="shared" si="19"/>
        <v>0</v>
      </c>
      <c r="S19" s="76">
        <f t="shared" si="19"/>
        <v>0</v>
      </c>
      <c r="T19" s="76">
        <f t="shared" si="19"/>
        <v>0</v>
      </c>
      <c r="U19" s="76">
        <f t="shared" si="19"/>
        <v>0</v>
      </c>
      <c r="V19" s="76">
        <f t="shared" si="19"/>
        <v>0</v>
      </c>
      <c r="W19" s="76"/>
      <c r="X19" s="316">
        <f t="shared" si="16"/>
        <v>1596082.051193554</v>
      </c>
      <c r="Y19" s="316">
        <f t="shared" si="16"/>
        <v>-262016.01259879023</v>
      </c>
      <c r="Z19" s="316">
        <f t="shared" si="16"/>
        <v>-4791550.0208850428</v>
      </c>
      <c r="AA19" s="316">
        <f t="shared" si="16"/>
        <v>1386204.1210488677</v>
      </c>
      <c r="AB19" s="316">
        <f t="shared" si="16"/>
        <v>1502158.5001470763</v>
      </c>
      <c r="AC19" s="168">
        <f t="shared" si="17"/>
        <v>-63235.706788259457</v>
      </c>
      <c r="AD19" s="168">
        <f t="shared" si="18"/>
        <v>667033.01929738186</v>
      </c>
      <c r="AE19" s="79"/>
      <c r="AF19" s="79"/>
      <c r="AG19" s="79"/>
      <c r="AH19" s="79"/>
      <c r="AI19" s="79"/>
      <c r="AJ19" s="79"/>
      <c r="AK19" s="79"/>
      <c r="AL19" s="79"/>
      <c r="AM19" s="79"/>
      <c r="AN19" s="79"/>
      <c r="AO19" s="79"/>
      <c r="AP19" s="79"/>
    </row>
    <row r="20" spans="1:42">
      <c r="A20" s="72" t="s">
        <v>317</v>
      </c>
      <c r="B20" s="1918"/>
      <c r="C20" s="76"/>
      <c r="D20" s="76">
        <f t="shared" ref="D20:V20" si="20">D8-C8</f>
        <v>0</v>
      </c>
      <c r="E20" s="76">
        <f t="shared" si="20"/>
        <v>0</v>
      </c>
      <c r="F20" s="76">
        <f t="shared" si="20"/>
        <v>0</v>
      </c>
      <c r="G20" s="76">
        <f t="shared" si="20"/>
        <v>0</v>
      </c>
      <c r="H20" s="76">
        <f t="shared" si="20"/>
        <v>0</v>
      </c>
      <c r="I20" s="76">
        <f t="shared" si="20"/>
        <v>0</v>
      </c>
      <c r="J20" s="76">
        <f t="shared" si="20"/>
        <v>0</v>
      </c>
      <c r="K20" s="76">
        <f t="shared" si="20"/>
        <v>0</v>
      </c>
      <c r="L20" s="76">
        <f t="shared" si="20"/>
        <v>0</v>
      </c>
      <c r="M20" s="76">
        <f t="shared" si="20"/>
        <v>0</v>
      </c>
      <c r="N20" s="76">
        <f t="shared" si="20"/>
        <v>0</v>
      </c>
      <c r="O20" s="76">
        <f t="shared" si="20"/>
        <v>0</v>
      </c>
      <c r="P20" s="76">
        <f t="shared" si="20"/>
        <v>0</v>
      </c>
      <c r="Q20" s="76">
        <f t="shared" si="20"/>
        <v>0</v>
      </c>
      <c r="R20" s="76">
        <f t="shared" si="20"/>
        <v>0</v>
      </c>
      <c r="S20" s="76">
        <f t="shared" si="20"/>
        <v>0</v>
      </c>
      <c r="T20" s="76">
        <f t="shared" si="20"/>
        <v>0</v>
      </c>
      <c r="U20" s="76">
        <f t="shared" si="20"/>
        <v>0</v>
      </c>
      <c r="V20" s="76">
        <f t="shared" si="20"/>
        <v>0</v>
      </c>
      <c r="W20" s="76"/>
      <c r="X20" s="76">
        <f t="shared" si="16"/>
        <v>110054.55985203572</v>
      </c>
      <c r="Y20" s="76">
        <f t="shared" si="16"/>
        <v>-157971.00361303613</v>
      </c>
      <c r="Z20" s="76">
        <f t="shared" si="16"/>
        <v>-2824458.3353104601</v>
      </c>
      <c r="AA20" s="76">
        <f t="shared" si="16"/>
        <v>-309459.99771661125</v>
      </c>
      <c r="AB20" s="76">
        <f t="shared" si="16"/>
        <v>1962212.9113441566</v>
      </c>
      <c r="AC20" s="73">
        <f t="shared" si="17"/>
        <v>-135513.54060487947</v>
      </c>
      <c r="AD20" s="73">
        <f t="shared" si="18"/>
        <v>-23958.221880500205</v>
      </c>
      <c r="AE20" s="79"/>
      <c r="AF20" s="79"/>
      <c r="AG20" s="79"/>
      <c r="AH20" s="79"/>
      <c r="AI20" s="79"/>
      <c r="AJ20" s="79"/>
      <c r="AK20" s="79"/>
      <c r="AL20" s="79"/>
      <c r="AM20" s="79"/>
      <c r="AN20" s="79"/>
      <c r="AO20" s="79"/>
      <c r="AP20" s="79"/>
    </row>
    <row r="21" spans="1:42">
      <c r="A21" s="72" t="s">
        <v>313</v>
      </c>
      <c r="B21" s="1918"/>
      <c r="C21" s="76"/>
      <c r="D21" s="76">
        <f t="shared" ref="D21:V21" si="21">D9-C9</f>
        <v>0</v>
      </c>
      <c r="E21" s="76">
        <f t="shared" si="21"/>
        <v>0</v>
      </c>
      <c r="F21" s="76">
        <f t="shared" si="21"/>
        <v>0</v>
      </c>
      <c r="G21" s="76">
        <f t="shared" si="21"/>
        <v>0</v>
      </c>
      <c r="H21" s="76">
        <f t="shared" si="21"/>
        <v>0</v>
      </c>
      <c r="I21" s="76">
        <f t="shared" si="21"/>
        <v>0</v>
      </c>
      <c r="J21" s="76">
        <f t="shared" si="21"/>
        <v>0</v>
      </c>
      <c r="K21" s="76">
        <f t="shared" si="21"/>
        <v>0</v>
      </c>
      <c r="L21" s="76">
        <f t="shared" si="21"/>
        <v>0</v>
      </c>
      <c r="M21" s="76">
        <f t="shared" si="21"/>
        <v>0</v>
      </c>
      <c r="N21" s="76">
        <f t="shared" si="21"/>
        <v>0</v>
      </c>
      <c r="O21" s="76">
        <f t="shared" si="21"/>
        <v>0</v>
      </c>
      <c r="P21" s="76">
        <f t="shared" si="21"/>
        <v>0</v>
      </c>
      <c r="Q21" s="76">
        <f t="shared" si="21"/>
        <v>0</v>
      </c>
      <c r="R21" s="76">
        <f t="shared" si="21"/>
        <v>0</v>
      </c>
      <c r="S21" s="76">
        <f t="shared" si="21"/>
        <v>0</v>
      </c>
      <c r="T21" s="76">
        <f t="shared" si="21"/>
        <v>0</v>
      </c>
      <c r="U21" s="76">
        <f t="shared" si="21"/>
        <v>0</v>
      </c>
      <c r="V21" s="76">
        <f t="shared" si="21"/>
        <v>0</v>
      </c>
      <c r="W21" s="76"/>
      <c r="X21" s="316">
        <f t="shared" si="16"/>
        <v>-349708.26490333676</v>
      </c>
      <c r="Y21" s="316">
        <f t="shared" si="16"/>
        <v>-213472.04009666666</v>
      </c>
      <c r="Z21" s="316">
        <f t="shared" si="16"/>
        <v>-3235344.1199999973</v>
      </c>
      <c r="AA21" s="316">
        <f t="shared" si="16"/>
        <v>271370.14000000246</v>
      </c>
      <c r="AB21" s="316">
        <f t="shared" si="16"/>
        <v>2197880.139999995</v>
      </c>
      <c r="AC21" s="168">
        <f t="shared" si="17"/>
        <v>-147697.1272222226</v>
      </c>
      <c r="AD21" s="168">
        <f t="shared" si="18"/>
        <v>-281590.15250000171</v>
      </c>
      <c r="AE21" s="119">
        <f>AE9-AB9</f>
        <v>125488.54999999702</v>
      </c>
      <c r="AF21" s="79"/>
      <c r="AG21" s="79"/>
      <c r="AH21" s="79"/>
      <c r="AI21" s="79"/>
      <c r="AJ21" s="79"/>
      <c r="AK21" s="79"/>
      <c r="AL21" s="79"/>
      <c r="AM21" s="79"/>
      <c r="AN21" s="79"/>
      <c r="AO21" s="79"/>
      <c r="AP21" s="79"/>
    </row>
    <row r="22" spans="1:42">
      <c r="A22" s="72" t="s">
        <v>316</v>
      </c>
      <c r="B22" s="1918"/>
      <c r="C22" s="76"/>
      <c r="D22" s="76">
        <f t="shared" ref="D22:V22" si="22">D10-C10</f>
        <v>0</v>
      </c>
      <c r="E22" s="76">
        <f t="shared" si="22"/>
        <v>0</v>
      </c>
      <c r="F22" s="76">
        <f t="shared" si="22"/>
        <v>0</v>
      </c>
      <c r="G22" s="76">
        <f t="shared" si="22"/>
        <v>0</v>
      </c>
      <c r="H22" s="76">
        <f t="shared" si="22"/>
        <v>0</v>
      </c>
      <c r="I22" s="76">
        <f t="shared" si="22"/>
        <v>0</v>
      </c>
      <c r="J22" s="76">
        <f t="shared" si="22"/>
        <v>0</v>
      </c>
      <c r="K22" s="76">
        <f t="shared" si="22"/>
        <v>0</v>
      </c>
      <c r="L22" s="76">
        <f t="shared" si="22"/>
        <v>0</v>
      </c>
      <c r="M22" s="76">
        <f t="shared" si="22"/>
        <v>0</v>
      </c>
      <c r="N22" s="76">
        <f t="shared" si="22"/>
        <v>0</v>
      </c>
      <c r="O22" s="76">
        <f t="shared" si="22"/>
        <v>0</v>
      </c>
      <c r="P22" s="76">
        <f t="shared" si="22"/>
        <v>0</v>
      </c>
      <c r="Q22" s="76">
        <f t="shared" si="22"/>
        <v>0</v>
      </c>
      <c r="R22" s="76">
        <f t="shared" si="22"/>
        <v>0</v>
      </c>
      <c r="S22" s="76">
        <f t="shared" si="22"/>
        <v>0</v>
      </c>
      <c r="T22" s="76">
        <f t="shared" si="22"/>
        <v>0</v>
      </c>
      <c r="U22" s="76">
        <f t="shared" si="22"/>
        <v>0</v>
      </c>
      <c r="V22" s="76">
        <f t="shared" si="22"/>
        <v>0</v>
      </c>
      <c r="W22" s="76"/>
      <c r="X22" s="76">
        <f t="shared" si="16"/>
        <v>-307789.6957333032</v>
      </c>
      <c r="Y22" s="76">
        <f t="shared" si="16"/>
        <v>-398499.61138643697</v>
      </c>
      <c r="Z22" s="76">
        <f t="shared" si="16"/>
        <v>-2855426.2614743151</v>
      </c>
      <c r="AA22" s="76">
        <f t="shared" si="16"/>
        <v>563372.41842622403</v>
      </c>
      <c r="AB22" s="76">
        <f t="shared" si="16"/>
        <v>1585970.5936303651</v>
      </c>
      <c r="AC22" s="73">
        <f t="shared" si="17"/>
        <v>-156930.28405971845</v>
      </c>
      <c r="AD22" s="73">
        <f t="shared" si="18"/>
        <v>-353144.65355987009</v>
      </c>
      <c r="AE22" s="79"/>
      <c r="AF22" s="79"/>
      <c r="AG22" s="79"/>
      <c r="AH22" s="79"/>
      <c r="AI22" s="79"/>
      <c r="AJ22" s="79"/>
      <c r="AK22" s="79"/>
      <c r="AL22" s="79"/>
      <c r="AM22" s="79"/>
      <c r="AN22" s="79"/>
      <c r="AO22" s="79"/>
      <c r="AP22" s="79"/>
    </row>
    <row r="23" spans="1:42">
      <c r="A23" s="72" t="s">
        <v>312</v>
      </c>
      <c r="B23" s="1918"/>
      <c r="C23" s="76"/>
      <c r="D23" s="76">
        <f t="shared" ref="D23:V23" si="23">D11-C11</f>
        <v>0</v>
      </c>
      <c r="E23" s="76">
        <f t="shared" si="23"/>
        <v>0</v>
      </c>
      <c r="F23" s="76">
        <f t="shared" si="23"/>
        <v>0</v>
      </c>
      <c r="G23" s="76">
        <f t="shared" si="23"/>
        <v>0</v>
      </c>
      <c r="H23" s="76">
        <f t="shared" si="23"/>
        <v>0</v>
      </c>
      <c r="I23" s="76">
        <f t="shared" si="23"/>
        <v>0</v>
      </c>
      <c r="J23" s="76">
        <f t="shared" si="23"/>
        <v>0</v>
      </c>
      <c r="K23" s="76">
        <f t="shared" si="23"/>
        <v>0</v>
      </c>
      <c r="L23" s="76">
        <f t="shared" si="23"/>
        <v>0</v>
      </c>
      <c r="M23" s="76">
        <f t="shared" si="23"/>
        <v>0</v>
      </c>
      <c r="N23" s="76">
        <f t="shared" si="23"/>
        <v>0</v>
      </c>
      <c r="O23" s="76">
        <f t="shared" si="23"/>
        <v>0</v>
      </c>
      <c r="P23" s="76">
        <f t="shared" si="23"/>
        <v>0</v>
      </c>
      <c r="Q23" s="76">
        <f t="shared" si="23"/>
        <v>0</v>
      </c>
      <c r="R23" s="76">
        <f t="shared" si="23"/>
        <v>0</v>
      </c>
      <c r="S23" s="76">
        <f t="shared" si="23"/>
        <v>0</v>
      </c>
      <c r="T23" s="76">
        <f t="shared" si="23"/>
        <v>0</v>
      </c>
      <c r="U23" s="76">
        <f t="shared" si="23"/>
        <v>0</v>
      </c>
      <c r="V23" s="76">
        <f t="shared" si="23"/>
        <v>0</v>
      </c>
      <c r="W23" s="76"/>
      <c r="X23" s="316">
        <f t="shared" si="16"/>
        <v>-455574.61000000127</v>
      </c>
      <c r="Y23" s="316">
        <f t="shared" si="16"/>
        <v>11279.38000000082</v>
      </c>
      <c r="Z23" s="316">
        <f t="shared" si="16"/>
        <v>-3561117.9300000006</v>
      </c>
      <c r="AA23" s="316">
        <f t="shared" si="16"/>
        <v>758313.57999999914</v>
      </c>
      <c r="AB23" s="316">
        <f t="shared" si="16"/>
        <v>1963034.58</v>
      </c>
      <c r="AC23" s="168">
        <f t="shared" si="17"/>
        <v>-142673.88888888911</v>
      </c>
      <c r="AD23" s="168">
        <f t="shared" si="18"/>
        <v>-222147.61500000022</v>
      </c>
      <c r="AE23" s="79"/>
      <c r="AF23" s="79"/>
      <c r="AG23" s="79"/>
      <c r="AH23" s="79"/>
      <c r="AI23" s="79"/>
      <c r="AJ23" s="79"/>
      <c r="AK23" s="79"/>
      <c r="AL23" s="79"/>
      <c r="AM23" s="79"/>
      <c r="AN23" s="79"/>
      <c r="AO23" s="79"/>
      <c r="AP23" s="79"/>
    </row>
    <row r="24" spans="1:42">
      <c r="A24" s="72" t="s">
        <v>311</v>
      </c>
      <c r="B24" s="1918"/>
      <c r="C24" s="76"/>
      <c r="D24" s="76">
        <f t="shared" ref="D24:V24" si="24">D12-C12</f>
        <v>0</v>
      </c>
      <c r="E24" s="76">
        <f t="shared" si="24"/>
        <v>0</v>
      </c>
      <c r="F24" s="76">
        <f t="shared" si="24"/>
        <v>0</v>
      </c>
      <c r="G24" s="76">
        <f t="shared" si="24"/>
        <v>0</v>
      </c>
      <c r="H24" s="76">
        <f t="shared" si="24"/>
        <v>0</v>
      </c>
      <c r="I24" s="76">
        <f t="shared" si="24"/>
        <v>0</v>
      </c>
      <c r="J24" s="76">
        <f t="shared" si="24"/>
        <v>0</v>
      </c>
      <c r="K24" s="76">
        <f t="shared" si="24"/>
        <v>0</v>
      </c>
      <c r="L24" s="76">
        <f t="shared" si="24"/>
        <v>0</v>
      </c>
      <c r="M24" s="76">
        <f t="shared" si="24"/>
        <v>0</v>
      </c>
      <c r="N24" s="76">
        <f t="shared" si="24"/>
        <v>0</v>
      </c>
      <c r="O24" s="76">
        <f t="shared" si="24"/>
        <v>0</v>
      </c>
      <c r="P24" s="76">
        <f t="shared" si="24"/>
        <v>0</v>
      </c>
      <c r="Q24" s="76">
        <f t="shared" si="24"/>
        <v>0</v>
      </c>
      <c r="R24" s="76">
        <f t="shared" si="24"/>
        <v>0</v>
      </c>
      <c r="S24" s="76">
        <f t="shared" si="24"/>
        <v>0</v>
      </c>
      <c r="T24" s="76">
        <f t="shared" si="24"/>
        <v>0</v>
      </c>
      <c r="U24" s="76">
        <f t="shared" si="24"/>
        <v>0</v>
      </c>
      <c r="V24" s="76">
        <f t="shared" si="24"/>
        <v>0</v>
      </c>
      <c r="W24" s="76"/>
      <c r="X24" s="316">
        <f t="shared" si="16"/>
        <v>-346527</v>
      </c>
      <c r="Y24" s="316">
        <f t="shared" si="16"/>
        <v>-150387</v>
      </c>
      <c r="Z24" s="316">
        <f t="shared" si="16"/>
        <v>-3157653</v>
      </c>
      <c r="AA24" s="316">
        <f t="shared" si="16"/>
        <v>46646</v>
      </c>
      <c r="AB24" s="316">
        <f t="shared" si="16"/>
        <v>1345936</v>
      </c>
      <c r="AC24" s="168">
        <f t="shared" si="17"/>
        <v>-251331.66666666666</v>
      </c>
      <c r="AD24" s="168">
        <f t="shared" si="18"/>
        <v>-248457</v>
      </c>
      <c r="AE24" s="119">
        <f>AE12-AB12</f>
        <v>995347</v>
      </c>
      <c r="AF24" s="79"/>
      <c r="AG24" s="79"/>
      <c r="AH24" s="79"/>
      <c r="AI24" s="79"/>
      <c r="AJ24" s="79"/>
      <c r="AK24" s="79"/>
      <c r="AL24" s="79"/>
      <c r="AM24" s="79"/>
      <c r="AN24" s="79"/>
      <c r="AO24" s="79"/>
      <c r="AP24" s="79"/>
    </row>
    <row r="25" spans="1:42">
      <c r="A25" s="72" t="s">
        <v>314</v>
      </c>
      <c r="B25" s="1919"/>
      <c r="C25" s="76"/>
      <c r="D25" s="76">
        <f t="shared" ref="D25:V25" si="25">D13-C13</f>
        <v>0</v>
      </c>
      <c r="E25" s="76">
        <f t="shared" si="25"/>
        <v>0</v>
      </c>
      <c r="F25" s="76">
        <f t="shared" si="25"/>
        <v>0</v>
      </c>
      <c r="G25" s="76">
        <f t="shared" si="25"/>
        <v>0</v>
      </c>
      <c r="H25" s="76">
        <f t="shared" si="25"/>
        <v>0</v>
      </c>
      <c r="I25" s="76">
        <f t="shared" si="25"/>
        <v>0</v>
      </c>
      <c r="J25" s="76">
        <f t="shared" si="25"/>
        <v>0</v>
      </c>
      <c r="K25" s="76">
        <f t="shared" si="25"/>
        <v>0</v>
      </c>
      <c r="L25" s="76">
        <f t="shared" si="25"/>
        <v>0</v>
      </c>
      <c r="M25" s="76">
        <f t="shared" si="25"/>
        <v>0</v>
      </c>
      <c r="N25" s="76">
        <f t="shared" si="25"/>
        <v>0</v>
      </c>
      <c r="O25" s="76">
        <f t="shared" si="25"/>
        <v>0</v>
      </c>
      <c r="P25" s="76">
        <f t="shared" si="25"/>
        <v>0</v>
      </c>
      <c r="Q25" s="76">
        <f t="shared" si="25"/>
        <v>0</v>
      </c>
      <c r="R25" s="76">
        <f t="shared" si="25"/>
        <v>0</v>
      </c>
      <c r="S25" s="76">
        <f t="shared" si="25"/>
        <v>0</v>
      </c>
      <c r="T25" s="76">
        <f t="shared" si="25"/>
        <v>0</v>
      </c>
      <c r="U25" s="76">
        <f t="shared" si="25"/>
        <v>0</v>
      </c>
      <c r="V25" s="76">
        <f t="shared" si="25"/>
        <v>0</v>
      </c>
      <c r="W25" s="76"/>
      <c r="X25" s="76">
        <f t="shared" si="16"/>
        <v>-225717.07458428666</v>
      </c>
      <c r="Y25" s="316">
        <f t="shared" si="16"/>
        <v>-2871514.9617998507</v>
      </c>
      <c r="Z25" s="316">
        <f t="shared" si="16"/>
        <v>-3071237</v>
      </c>
      <c r="AA25" s="316">
        <f t="shared" si="16"/>
        <v>272918</v>
      </c>
      <c r="AB25" s="316">
        <f t="shared" si="16"/>
        <v>2259183</v>
      </c>
      <c r="AC25" s="168">
        <f t="shared" si="17"/>
        <v>-404040.89293157082</v>
      </c>
      <c r="AD25" s="168">
        <f t="shared" si="18"/>
        <v>-1548616.0181920687</v>
      </c>
      <c r="AE25" s="119">
        <f>AE13-AB13</f>
        <v>1901465</v>
      </c>
      <c r="AF25" s="79"/>
      <c r="AG25" s="79"/>
      <c r="AH25" s="79"/>
      <c r="AI25" s="79"/>
      <c r="AJ25" s="79"/>
      <c r="AK25" s="79"/>
      <c r="AL25" s="79"/>
      <c r="AM25" s="79"/>
      <c r="AN25" s="79"/>
      <c r="AO25" s="79"/>
      <c r="AP25" s="79"/>
    </row>
    <row r="26" spans="1:42" s="112" customFormat="1">
      <c r="A26" s="74" t="s">
        <v>203</v>
      </c>
      <c r="B26" s="74"/>
      <c r="C26" s="75"/>
      <c r="D26" s="75">
        <f t="shared" ref="D26:AC26" si="26">SUM(D18:D25)</f>
        <v>0</v>
      </c>
      <c r="E26" s="75">
        <f t="shared" si="26"/>
        <v>0</v>
      </c>
      <c r="F26" s="75">
        <f t="shared" si="26"/>
        <v>0</v>
      </c>
      <c r="G26" s="75">
        <f t="shared" si="26"/>
        <v>0</v>
      </c>
      <c r="H26" s="75">
        <f t="shared" si="26"/>
        <v>0</v>
      </c>
      <c r="I26" s="75">
        <f t="shared" si="26"/>
        <v>0</v>
      </c>
      <c r="J26" s="75">
        <f t="shared" si="26"/>
        <v>0</v>
      </c>
      <c r="K26" s="75">
        <f t="shared" si="26"/>
        <v>0</v>
      </c>
      <c r="L26" s="75">
        <f t="shared" si="26"/>
        <v>0</v>
      </c>
      <c r="M26" s="75">
        <f t="shared" si="26"/>
        <v>0</v>
      </c>
      <c r="N26" s="75">
        <f t="shared" si="26"/>
        <v>0</v>
      </c>
      <c r="O26" s="75">
        <f t="shared" si="26"/>
        <v>0</v>
      </c>
      <c r="P26" s="75">
        <f t="shared" si="26"/>
        <v>0</v>
      </c>
      <c r="Q26" s="75">
        <f t="shared" si="26"/>
        <v>0</v>
      </c>
      <c r="R26" s="75">
        <f t="shared" si="26"/>
        <v>0</v>
      </c>
      <c r="S26" s="75">
        <f t="shared" si="26"/>
        <v>0</v>
      </c>
      <c r="T26" s="75">
        <f t="shared" si="26"/>
        <v>0</v>
      </c>
      <c r="U26" s="75">
        <f t="shared" si="26"/>
        <v>0</v>
      </c>
      <c r="V26" s="75">
        <f t="shared" si="26"/>
        <v>0</v>
      </c>
      <c r="W26" s="75">
        <f t="shared" si="26"/>
        <v>0</v>
      </c>
      <c r="X26" s="75">
        <f t="shared" si="26"/>
        <v>-101966.87417533807</v>
      </c>
      <c r="Y26" s="75">
        <f t="shared" si="26"/>
        <v>-4212995.9994947799</v>
      </c>
      <c r="Z26" s="75">
        <f t="shared" si="26"/>
        <v>-27655428.867669813</v>
      </c>
      <c r="AA26" s="75">
        <f t="shared" si="26"/>
        <v>3028961.9817584809</v>
      </c>
      <c r="AB26" s="75">
        <f t="shared" si="26"/>
        <v>14943696.075121595</v>
      </c>
      <c r="AC26" s="75">
        <f t="shared" si="26"/>
        <v>-1555303.742717762</v>
      </c>
      <c r="AD26" s="101">
        <f t="shared" si="18"/>
        <v>-1438320.9578900393</v>
      </c>
      <c r="AE26" s="79"/>
      <c r="AF26" s="79"/>
      <c r="AG26" s="79"/>
      <c r="AH26" s="79"/>
      <c r="AI26" s="79"/>
      <c r="AJ26" s="79"/>
      <c r="AK26" s="79"/>
      <c r="AL26" s="79"/>
      <c r="AM26" s="79"/>
      <c r="AN26" s="79"/>
      <c r="AO26" s="79"/>
      <c r="AP26" s="79"/>
    </row>
    <row r="28" spans="1:42">
      <c r="A28" s="71">
        <v>3</v>
      </c>
      <c r="B28" s="71"/>
      <c r="C28" s="1910" t="s">
        <v>363</v>
      </c>
      <c r="D28" s="1910"/>
      <c r="E28" s="1910"/>
      <c r="F28" s="1910"/>
      <c r="G28" s="1910"/>
      <c r="H28" s="1910"/>
      <c r="I28" s="1910"/>
      <c r="J28" s="1910"/>
      <c r="K28" s="1910"/>
      <c r="L28" s="1910"/>
      <c r="M28" s="1910"/>
      <c r="N28" s="1910"/>
      <c r="O28" s="1910"/>
      <c r="P28" s="1910"/>
      <c r="Q28" s="1910"/>
      <c r="R28" s="1910"/>
      <c r="S28" s="1910"/>
      <c r="T28" s="1910"/>
      <c r="U28" s="1910"/>
      <c r="V28" s="1910"/>
      <c r="W28" s="1910"/>
      <c r="X28" s="1910"/>
      <c r="Y28" s="1910"/>
      <c r="Z28" s="1910"/>
      <c r="AA28" s="1910"/>
      <c r="AB28" s="1910"/>
      <c r="AC28" s="86"/>
      <c r="AD28" s="86"/>
      <c r="AE28" s="115"/>
      <c r="AF28" s="115"/>
      <c r="AG28" s="115"/>
      <c r="AH28" s="115"/>
      <c r="AI28" s="115"/>
      <c r="AJ28" s="115"/>
      <c r="AK28" s="115"/>
      <c r="AL28" s="115"/>
      <c r="AM28" s="115"/>
      <c r="AN28" s="115"/>
      <c r="AO28" s="115"/>
      <c r="AP28" s="115"/>
    </row>
    <row r="29" spans="1:42">
      <c r="A29" s="71"/>
      <c r="B29" s="71"/>
      <c r="C29" s="72" t="s">
        <v>284</v>
      </c>
      <c r="D29" s="72" t="s">
        <v>285</v>
      </c>
      <c r="E29" s="72" t="s">
        <v>286</v>
      </c>
      <c r="F29" s="72" t="s">
        <v>287</v>
      </c>
      <c r="G29" s="72" t="s">
        <v>288</v>
      </c>
      <c r="H29" s="72" t="s">
        <v>289</v>
      </c>
      <c r="I29" s="72" t="s">
        <v>290</v>
      </c>
      <c r="J29" s="72" t="s">
        <v>291</v>
      </c>
      <c r="K29" s="72" t="s">
        <v>292</v>
      </c>
      <c r="L29" s="72" t="s">
        <v>293</v>
      </c>
      <c r="M29" s="72" t="s">
        <v>294</v>
      </c>
      <c r="N29" s="72" t="s">
        <v>295</v>
      </c>
      <c r="O29" s="72" t="s">
        <v>296</v>
      </c>
      <c r="P29" s="72" t="s">
        <v>297</v>
      </c>
      <c r="Q29" s="72" t="s">
        <v>298</v>
      </c>
      <c r="R29" s="72" t="s">
        <v>299</v>
      </c>
      <c r="S29" s="72" t="s">
        <v>300</v>
      </c>
      <c r="T29" s="72" t="s">
        <v>301</v>
      </c>
      <c r="U29" s="72" t="s">
        <v>302</v>
      </c>
      <c r="V29" s="72" t="s">
        <v>303</v>
      </c>
      <c r="W29" s="72" t="s">
        <v>304</v>
      </c>
      <c r="X29" s="72" t="s">
        <v>305</v>
      </c>
      <c r="Y29" s="72" t="s">
        <v>306</v>
      </c>
      <c r="Z29" s="72" t="s">
        <v>307</v>
      </c>
      <c r="AA29" s="72" t="s">
        <v>308</v>
      </c>
      <c r="AB29" s="72" t="s">
        <v>309</v>
      </c>
      <c r="AC29" s="72" t="s">
        <v>351</v>
      </c>
      <c r="AD29" s="72" t="s">
        <v>352</v>
      </c>
      <c r="AE29" s="72" t="s">
        <v>340</v>
      </c>
      <c r="AF29" s="72" t="s">
        <v>341</v>
      </c>
      <c r="AG29" s="72" t="s">
        <v>342</v>
      </c>
      <c r="AH29" s="72" t="s">
        <v>343</v>
      </c>
      <c r="AI29" s="72" t="s">
        <v>344</v>
      </c>
      <c r="AJ29" s="72" t="s">
        <v>345</v>
      </c>
      <c r="AK29" s="72" t="s">
        <v>346</v>
      </c>
      <c r="AL29" s="72" t="s">
        <v>347</v>
      </c>
      <c r="AM29" s="72" t="s">
        <v>348</v>
      </c>
      <c r="AN29" s="72" t="s">
        <v>349</v>
      </c>
      <c r="AO29" s="72" t="s">
        <v>350</v>
      </c>
      <c r="AP29" s="72" t="s">
        <v>353</v>
      </c>
    </row>
    <row r="30" spans="1:42">
      <c r="A30" s="72" t="s">
        <v>315</v>
      </c>
      <c r="B30" s="1917" t="s">
        <v>339</v>
      </c>
      <c r="C30" s="76"/>
      <c r="D30" s="77" t="e">
        <f t="shared" ref="D30:AB30" si="27">D18/C6</f>
        <v>#DIV/0!</v>
      </c>
      <c r="E30" s="77" t="e">
        <f t="shared" si="27"/>
        <v>#DIV/0!</v>
      </c>
      <c r="F30" s="77" t="e">
        <f t="shared" si="27"/>
        <v>#DIV/0!</v>
      </c>
      <c r="G30" s="77" t="e">
        <f t="shared" si="27"/>
        <v>#DIV/0!</v>
      </c>
      <c r="H30" s="77" t="e">
        <f t="shared" si="27"/>
        <v>#DIV/0!</v>
      </c>
      <c r="I30" s="77" t="e">
        <f t="shared" si="27"/>
        <v>#DIV/0!</v>
      </c>
      <c r="J30" s="77" t="e">
        <f t="shared" si="27"/>
        <v>#DIV/0!</v>
      </c>
      <c r="K30" s="77" t="e">
        <f t="shared" si="27"/>
        <v>#DIV/0!</v>
      </c>
      <c r="L30" s="77" t="e">
        <f t="shared" si="27"/>
        <v>#DIV/0!</v>
      </c>
      <c r="M30" s="77" t="e">
        <f t="shared" si="27"/>
        <v>#DIV/0!</v>
      </c>
      <c r="N30" s="77" t="e">
        <f t="shared" si="27"/>
        <v>#DIV/0!</v>
      </c>
      <c r="O30" s="77" t="e">
        <f t="shared" si="27"/>
        <v>#DIV/0!</v>
      </c>
      <c r="P30" s="77" t="e">
        <f t="shared" si="27"/>
        <v>#DIV/0!</v>
      </c>
      <c r="Q30" s="77" t="e">
        <f t="shared" si="27"/>
        <v>#DIV/0!</v>
      </c>
      <c r="R30" s="77" t="e">
        <f t="shared" si="27"/>
        <v>#DIV/0!</v>
      </c>
      <c r="S30" s="77" t="e">
        <f t="shared" si="27"/>
        <v>#DIV/0!</v>
      </c>
      <c r="T30" s="77" t="e">
        <f t="shared" si="27"/>
        <v>#DIV/0!</v>
      </c>
      <c r="U30" s="77" t="e">
        <f t="shared" si="27"/>
        <v>#DIV/0!</v>
      </c>
      <c r="V30" s="77" t="e">
        <f t="shared" si="27"/>
        <v>#DIV/0!</v>
      </c>
      <c r="W30" s="77" t="e">
        <f t="shared" si="27"/>
        <v>#DIV/0!</v>
      </c>
      <c r="X30" s="77">
        <f t="shared" si="27"/>
        <v>-9.4779308046158955E-3</v>
      </c>
      <c r="Y30" s="77">
        <f t="shared" si="27"/>
        <v>-1.328020370218848E-2</v>
      </c>
      <c r="Z30" s="77">
        <f t="shared" si="27"/>
        <v>-0.3284394148378495</v>
      </c>
      <c r="AA30" s="77">
        <f t="shared" si="27"/>
        <v>4.6568118878401411E-3</v>
      </c>
      <c r="AB30" s="77">
        <f t="shared" si="27"/>
        <v>0.2490196829874326</v>
      </c>
      <c r="AC30" s="298">
        <f t="shared" ref="AC30:AC38" si="28">AVERAGE(X30:AB30)</f>
        <v>-1.9504210893876228E-2</v>
      </c>
      <c r="AD30" s="298">
        <f t="shared" ref="AD30:AD37" si="29">AVERAGE(X30:Y30)</f>
        <v>-1.1379067253402188E-2</v>
      </c>
      <c r="AE30" s="117"/>
      <c r="AF30" s="117"/>
      <c r="AG30" s="117"/>
      <c r="AH30" s="117"/>
      <c r="AI30" s="117"/>
      <c r="AJ30" s="117"/>
      <c r="AK30" s="117"/>
      <c r="AL30" s="117"/>
      <c r="AM30" s="117"/>
      <c r="AN30" s="117"/>
      <c r="AO30" s="117"/>
      <c r="AP30" s="117"/>
    </row>
    <row r="31" spans="1:42">
      <c r="A31" s="72" t="s">
        <v>310</v>
      </c>
      <c r="B31" s="1918"/>
      <c r="C31" s="76"/>
      <c r="D31" s="77" t="e">
        <f t="shared" ref="D31:AB31" si="30">D19/C7</f>
        <v>#DIV/0!</v>
      </c>
      <c r="E31" s="77" t="e">
        <f t="shared" si="30"/>
        <v>#DIV/0!</v>
      </c>
      <c r="F31" s="77" t="e">
        <f t="shared" si="30"/>
        <v>#DIV/0!</v>
      </c>
      <c r="G31" s="77" t="e">
        <f t="shared" si="30"/>
        <v>#DIV/0!</v>
      </c>
      <c r="H31" s="77" t="e">
        <f t="shared" si="30"/>
        <v>#DIV/0!</v>
      </c>
      <c r="I31" s="77" t="e">
        <f t="shared" si="30"/>
        <v>#DIV/0!</v>
      </c>
      <c r="J31" s="77" t="e">
        <f t="shared" si="30"/>
        <v>#DIV/0!</v>
      </c>
      <c r="K31" s="77" t="e">
        <f t="shared" si="30"/>
        <v>#DIV/0!</v>
      </c>
      <c r="L31" s="77" t="e">
        <f t="shared" si="30"/>
        <v>#DIV/0!</v>
      </c>
      <c r="M31" s="77" t="e">
        <f t="shared" si="30"/>
        <v>#DIV/0!</v>
      </c>
      <c r="N31" s="77" t="e">
        <f t="shared" si="30"/>
        <v>#DIV/0!</v>
      </c>
      <c r="O31" s="77" t="e">
        <f t="shared" si="30"/>
        <v>#DIV/0!</v>
      </c>
      <c r="P31" s="77" t="e">
        <f t="shared" si="30"/>
        <v>#DIV/0!</v>
      </c>
      <c r="Q31" s="77" t="e">
        <f t="shared" si="30"/>
        <v>#DIV/0!</v>
      </c>
      <c r="R31" s="77" t="e">
        <f t="shared" si="30"/>
        <v>#DIV/0!</v>
      </c>
      <c r="S31" s="77" t="e">
        <f t="shared" si="30"/>
        <v>#DIV/0!</v>
      </c>
      <c r="T31" s="77" t="e">
        <f t="shared" si="30"/>
        <v>#DIV/0!</v>
      </c>
      <c r="U31" s="77" t="e">
        <f t="shared" si="30"/>
        <v>#DIV/0!</v>
      </c>
      <c r="V31" s="77" t="e">
        <f t="shared" si="30"/>
        <v>#DIV/0!</v>
      </c>
      <c r="W31" s="77" t="e">
        <f t="shared" si="30"/>
        <v>#DIV/0!</v>
      </c>
      <c r="X31" s="77">
        <f t="shared" si="30"/>
        <v>9.5112898549686201E-2</v>
      </c>
      <c r="Y31" s="77">
        <f t="shared" si="30"/>
        <v>-1.4257820477459666E-2</v>
      </c>
      <c r="Z31" s="77">
        <f t="shared" si="30"/>
        <v>-0.2645075025564414</v>
      </c>
      <c r="AA31" s="77">
        <f t="shared" si="30"/>
        <v>0.10404253071410957</v>
      </c>
      <c r="AB31" s="77">
        <f t="shared" si="30"/>
        <v>0.10212067516499275</v>
      </c>
      <c r="AC31" s="298">
        <f t="shared" si="28"/>
        <v>4.5021562789774898E-3</v>
      </c>
      <c r="AD31" s="298">
        <f t="shared" si="29"/>
        <v>4.0427539036113264E-2</v>
      </c>
      <c r="AE31" s="117"/>
      <c r="AF31" s="117"/>
      <c r="AG31" s="117"/>
      <c r="AH31" s="117"/>
      <c r="AI31" s="117"/>
      <c r="AJ31" s="117"/>
      <c r="AK31" s="117"/>
      <c r="AL31" s="117"/>
      <c r="AM31" s="117"/>
      <c r="AN31" s="117"/>
      <c r="AO31" s="117"/>
      <c r="AP31" s="117"/>
    </row>
    <row r="32" spans="1:42">
      <c r="A32" s="72" t="s">
        <v>317</v>
      </c>
      <c r="B32" s="1918"/>
      <c r="C32" s="76"/>
      <c r="D32" s="77" t="e">
        <f t="shared" ref="D32:AB32" si="31">D20/C8</f>
        <v>#DIV/0!</v>
      </c>
      <c r="E32" s="77" t="e">
        <f t="shared" si="31"/>
        <v>#DIV/0!</v>
      </c>
      <c r="F32" s="77" t="e">
        <f t="shared" si="31"/>
        <v>#DIV/0!</v>
      </c>
      <c r="G32" s="77" t="e">
        <f t="shared" si="31"/>
        <v>#DIV/0!</v>
      </c>
      <c r="H32" s="77" t="e">
        <f t="shared" si="31"/>
        <v>#DIV/0!</v>
      </c>
      <c r="I32" s="77" t="e">
        <f t="shared" si="31"/>
        <v>#DIV/0!</v>
      </c>
      <c r="J32" s="77" t="e">
        <f t="shared" si="31"/>
        <v>#DIV/0!</v>
      </c>
      <c r="K32" s="77" t="e">
        <f t="shared" si="31"/>
        <v>#DIV/0!</v>
      </c>
      <c r="L32" s="77" t="e">
        <f t="shared" si="31"/>
        <v>#DIV/0!</v>
      </c>
      <c r="M32" s="77" t="e">
        <f t="shared" si="31"/>
        <v>#DIV/0!</v>
      </c>
      <c r="N32" s="77" t="e">
        <f t="shared" si="31"/>
        <v>#DIV/0!</v>
      </c>
      <c r="O32" s="77" t="e">
        <f t="shared" si="31"/>
        <v>#DIV/0!</v>
      </c>
      <c r="P32" s="77" t="e">
        <f t="shared" si="31"/>
        <v>#DIV/0!</v>
      </c>
      <c r="Q32" s="77" t="e">
        <f t="shared" si="31"/>
        <v>#DIV/0!</v>
      </c>
      <c r="R32" s="77" t="e">
        <f t="shared" si="31"/>
        <v>#DIV/0!</v>
      </c>
      <c r="S32" s="77" t="e">
        <f t="shared" si="31"/>
        <v>#DIV/0!</v>
      </c>
      <c r="T32" s="77" t="e">
        <f t="shared" si="31"/>
        <v>#DIV/0!</v>
      </c>
      <c r="U32" s="77" t="e">
        <f t="shared" si="31"/>
        <v>#DIV/0!</v>
      </c>
      <c r="V32" s="77" t="e">
        <f t="shared" si="31"/>
        <v>#DIV/0!</v>
      </c>
      <c r="W32" s="77" t="e">
        <f t="shared" si="31"/>
        <v>#DIV/0!</v>
      </c>
      <c r="X32" s="77">
        <f t="shared" si="31"/>
        <v>1.2679833659011179E-2</v>
      </c>
      <c r="Y32" s="77">
        <f t="shared" si="31"/>
        <v>-1.7972592634508996E-2</v>
      </c>
      <c r="Z32" s="77">
        <f t="shared" si="31"/>
        <v>-0.32722382540569667</v>
      </c>
      <c r="AA32" s="77">
        <f t="shared" si="31"/>
        <v>-5.3289747153755861E-2</v>
      </c>
      <c r="AB32" s="77">
        <f t="shared" si="31"/>
        <v>0.35691778582462541</v>
      </c>
      <c r="AC32" s="98">
        <f t="shared" si="28"/>
        <v>-5.7777091420649794E-3</v>
      </c>
      <c r="AD32" s="98">
        <f t="shared" si="29"/>
        <v>-2.6463794877489089E-3</v>
      </c>
      <c r="AE32" s="117"/>
      <c r="AF32" s="117"/>
      <c r="AG32" s="117"/>
      <c r="AH32" s="117"/>
      <c r="AI32" s="117"/>
      <c r="AJ32" s="117"/>
      <c r="AK32" s="117"/>
      <c r="AL32" s="117"/>
      <c r="AM32" s="117"/>
      <c r="AN32" s="117"/>
      <c r="AO32" s="117"/>
      <c r="AP32" s="117"/>
    </row>
    <row r="33" spans="1:42">
      <c r="A33" s="72" t="s">
        <v>313</v>
      </c>
      <c r="B33" s="1918"/>
      <c r="C33" s="76"/>
      <c r="D33" s="77" t="e">
        <f t="shared" ref="D33:AB33" si="32">D21/C9</f>
        <v>#DIV/0!</v>
      </c>
      <c r="E33" s="77" t="e">
        <f t="shared" si="32"/>
        <v>#DIV/0!</v>
      </c>
      <c r="F33" s="77" t="e">
        <f t="shared" si="32"/>
        <v>#DIV/0!</v>
      </c>
      <c r="G33" s="77" t="e">
        <f t="shared" si="32"/>
        <v>#DIV/0!</v>
      </c>
      <c r="H33" s="77" t="e">
        <f t="shared" si="32"/>
        <v>#DIV/0!</v>
      </c>
      <c r="I33" s="77" t="e">
        <f t="shared" si="32"/>
        <v>#DIV/0!</v>
      </c>
      <c r="J33" s="77" t="e">
        <f t="shared" si="32"/>
        <v>#DIV/0!</v>
      </c>
      <c r="K33" s="77" t="e">
        <f t="shared" si="32"/>
        <v>#DIV/0!</v>
      </c>
      <c r="L33" s="77" t="e">
        <f t="shared" si="32"/>
        <v>#DIV/0!</v>
      </c>
      <c r="M33" s="77" t="e">
        <f t="shared" si="32"/>
        <v>#DIV/0!</v>
      </c>
      <c r="N33" s="77" t="e">
        <f t="shared" si="32"/>
        <v>#DIV/0!</v>
      </c>
      <c r="O33" s="77" t="e">
        <f t="shared" si="32"/>
        <v>#DIV/0!</v>
      </c>
      <c r="P33" s="77" t="e">
        <f t="shared" si="32"/>
        <v>#DIV/0!</v>
      </c>
      <c r="Q33" s="77" t="e">
        <f t="shared" si="32"/>
        <v>#DIV/0!</v>
      </c>
      <c r="R33" s="77" t="e">
        <f t="shared" si="32"/>
        <v>#DIV/0!</v>
      </c>
      <c r="S33" s="77" t="e">
        <f t="shared" si="32"/>
        <v>#DIV/0!</v>
      </c>
      <c r="T33" s="77" t="e">
        <f t="shared" si="32"/>
        <v>#DIV/0!</v>
      </c>
      <c r="U33" s="77" t="e">
        <f t="shared" si="32"/>
        <v>#DIV/0!</v>
      </c>
      <c r="V33" s="77" t="e">
        <f t="shared" si="32"/>
        <v>#DIV/0!</v>
      </c>
      <c r="W33" s="77" t="e">
        <f t="shared" si="32"/>
        <v>#DIV/0!</v>
      </c>
      <c r="X33" s="77">
        <f t="shared" si="32"/>
        <v>-3.2441965137323253E-2</v>
      </c>
      <c r="Y33" s="77">
        <f t="shared" si="32"/>
        <v>-2.0467520479114484E-2</v>
      </c>
      <c r="Z33" s="77">
        <f t="shared" si="32"/>
        <v>-0.31668381802692092</v>
      </c>
      <c r="AA33" s="77">
        <f t="shared" si="32"/>
        <v>3.8872792952551839E-2</v>
      </c>
      <c r="AB33" s="77">
        <f t="shared" si="32"/>
        <v>0.30305769695565515</v>
      </c>
      <c r="AC33" s="298">
        <f>AVERAGE(X33:AB33,AE33)</f>
        <v>-2.6138727603770913E-3</v>
      </c>
      <c r="AD33" s="298">
        <f t="shared" si="29"/>
        <v>-2.645474280821887E-2</v>
      </c>
      <c r="AE33" s="77">
        <f t="shared" ref="AE33" si="33">AE21/AD9</f>
        <v>1.1979577172889066E-2</v>
      </c>
      <c r="AF33" s="117"/>
      <c r="AG33" s="117"/>
      <c r="AH33" s="117"/>
      <c r="AI33" s="117"/>
      <c r="AJ33" s="117"/>
      <c r="AK33" s="117"/>
      <c r="AL33" s="117"/>
      <c r="AM33" s="117"/>
      <c r="AN33" s="117"/>
      <c r="AO33" s="117"/>
      <c r="AP33" s="117"/>
    </row>
    <row r="34" spans="1:42">
      <c r="A34" s="72" t="s">
        <v>316</v>
      </c>
      <c r="B34" s="1918"/>
      <c r="C34" s="76"/>
      <c r="D34" s="77" t="e">
        <f t="shared" ref="D34:AB34" si="34">D22/C10</f>
        <v>#DIV/0!</v>
      </c>
      <c r="E34" s="77" t="e">
        <f t="shared" si="34"/>
        <v>#DIV/0!</v>
      </c>
      <c r="F34" s="77" t="e">
        <f t="shared" si="34"/>
        <v>#DIV/0!</v>
      </c>
      <c r="G34" s="77" t="e">
        <f t="shared" si="34"/>
        <v>#DIV/0!</v>
      </c>
      <c r="H34" s="77" t="e">
        <f t="shared" si="34"/>
        <v>#DIV/0!</v>
      </c>
      <c r="I34" s="77" t="e">
        <f t="shared" si="34"/>
        <v>#DIV/0!</v>
      </c>
      <c r="J34" s="77" t="e">
        <f t="shared" si="34"/>
        <v>#DIV/0!</v>
      </c>
      <c r="K34" s="77" t="e">
        <f t="shared" si="34"/>
        <v>#DIV/0!</v>
      </c>
      <c r="L34" s="77" t="e">
        <f t="shared" si="34"/>
        <v>#DIV/0!</v>
      </c>
      <c r="M34" s="77" t="e">
        <f t="shared" si="34"/>
        <v>#DIV/0!</v>
      </c>
      <c r="N34" s="77" t="e">
        <f t="shared" si="34"/>
        <v>#DIV/0!</v>
      </c>
      <c r="O34" s="77" t="e">
        <f t="shared" si="34"/>
        <v>#DIV/0!</v>
      </c>
      <c r="P34" s="77" t="e">
        <f t="shared" si="34"/>
        <v>#DIV/0!</v>
      </c>
      <c r="Q34" s="77" t="e">
        <f t="shared" si="34"/>
        <v>#DIV/0!</v>
      </c>
      <c r="R34" s="77" t="e">
        <f t="shared" si="34"/>
        <v>#DIV/0!</v>
      </c>
      <c r="S34" s="77" t="e">
        <f t="shared" si="34"/>
        <v>#DIV/0!</v>
      </c>
      <c r="T34" s="77" t="e">
        <f t="shared" si="34"/>
        <v>#DIV/0!</v>
      </c>
      <c r="U34" s="77" t="e">
        <f t="shared" si="34"/>
        <v>#DIV/0!</v>
      </c>
      <c r="V34" s="77" t="e">
        <f t="shared" si="34"/>
        <v>#DIV/0!</v>
      </c>
      <c r="W34" s="77" t="e">
        <f t="shared" si="34"/>
        <v>#DIV/0!</v>
      </c>
      <c r="X34" s="77">
        <f t="shared" si="34"/>
        <v>-3.1790758290779451E-2</v>
      </c>
      <c r="Y34" s="77">
        <f t="shared" si="34"/>
        <v>-4.2511407997399976E-2</v>
      </c>
      <c r="Z34" s="77">
        <f t="shared" si="34"/>
        <v>-0.31813754704358499</v>
      </c>
      <c r="AA34" s="77">
        <f t="shared" si="34"/>
        <v>9.2054025162271833E-2</v>
      </c>
      <c r="AB34" s="77">
        <f t="shared" si="34"/>
        <v>0.23730025716962655</v>
      </c>
      <c r="AC34" s="98">
        <f t="shared" si="28"/>
        <v>-1.2617086199973204E-2</v>
      </c>
      <c r="AD34" s="98">
        <f t="shared" si="29"/>
        <v>-3.7151083144089714E-2</v>
      </c>
      <c r="AE34" s="117"/>
      <c r="AF34" s="117"/>
      <c r="AG34" s="117"/>
      <c r="AH34" s="117"/>
      <c r="AI34" s="117"/>
      <c r="AJ34" s="117"/>
      <c r="AK34" s="117"/>
      <c r="AL34" s="117"/>
      <c r="AM34" s="117"/>
      <c r="AN34" s="117"/>
      <c r="AO34" s="117"/>
      <c r="AP34" s="117"/>
    </row>
    <row r="35" spans="1:42">
      <c r="A35" s="72" t="s">
        <v>312</v>
      </c>
      <c r="B35" s="1918"/>
      <c r="C35" s="76"/>
      <c r="D35" s="77" t="e">
        <f t="shared" ref="D35:AB35" si="35">D23/C11</f>
        <v>#DIV/0!</v>
      </c>
      <c r="E35" s="77" t="e">
        <f t="shared" si="35"/>
        <v>#DIV/0!</v>
      </c>
      <c r="F35" s="77" t="e">
        <f t="shared" si="35"/>
        <v>#DIV/0!</v>
      </c>
      <c r="G35" s="77" t="e">
        <f t="shared" si="35"/>
        <v>#DIV/0!</v>
      </c>
      <c r="H35" s="77" t="e">
        <f t="shared" si="35"/>
        <v>#DIV/0!</v>
      </c>
      <c r="I35" s="77" t="e">
        <f t="shared" si="35"/>
        <v>#DIV/0!</v>
      </c>
      <c r="J35" s="77" t="e">
        <f t="shared" si="35"/>
        <v>#DIV/0!</v>
      </c>
      <c r="K35" s="77" t="e">
        <f t="shared" si="35"/>
        <v>#DIV/0!</v>
      </c>
      <c r="L35" s="77" t="e">
        <f t="shared" si="35"/>
        <v>#DIV/0!</v>
      </c>
      <c r="M35" s="77" t="e">
        <f t="shared" si="35"/>
        <v>#DIV/0!</v>
      </c>
      <c r="N35" s="77" t="e">
        <f t="shared" si="35"/>
        <v>#DIV/0!</v>
      </c>
      <c r="O35" s="77" t="e">
        <f t="shared" si="35"/>
        <v>#DIV/0!</v>
      </c>
      <c r="P35" s="77" t="e">
        <f t="shared" si="35"/>
        <v>#DIV/0!</v>
      </c>
      <c r="Q35" s="77" t="e">
        <f t="shared" si="35"/>
        <v>#DIV/0!</v>
      </c>
      <c r="R35" s="77" t="e">
        <f t="shared" si="35"/>
        <v>#DIV/0!</v>
      </c>
      <c r="S35" s="77" t="e">
        <f t="shared" si="35"/>
        <v>#DIV/0!</v>
      </c>
      <c r="T35" s="77" t="e">
        <f t="shared" si="35"/>
        <v>#DIV/0!</v>
      </c>
      <c r="U35" s="77" t="e">
        <f t="shared" si="35"/>
        <v>#DIV/0!</v>
      </c>
      <c r="V35" s="77" t="e">
        <f t="shared" si="35"/>
        <v>#DIV/0!</v>
      </c>
      <c r="W35" s="77" t="e">
        <f t="shared" si="35"/>
        <v>#DIV/0!</v>
      </c>
      <c r="X35" s="77">
        <f t="shared" si="35"/>
        <v>-3.833685827404032E-2</v>
      </c>
      <c r="Y35" s="77">
        <f t="shared" si="35"/>
        <v>9.8700479965959666E-4</v>
      </c>
      <c r="Z35" s="77">
        <f t="shared" si="35"/>
        <v>-0.31130919831910459</v>
      </c>
      <c r="AA35" s="77">
        <f t="shared" si="35"/>
        <v>9.6256518146064673E-2</v>
      </c>
      <c r="AB35" s="77">
        <f t="shared" si="35"/>
        <v>0.22729876495970058</v>
      </c>
      <c r="AC35" s="298">
        <f t="shared" si="28"/>
        <v>-5.0207537375440148E-3</v>
      </c>
      <c r="AD35" s="298">
        <f t="shared" si="29"/>
        <v>-1.8674926737190362E-2</v>
      </c>
      <c r="AE35" s="117"/>
      <c r="AF35" s="117"/>
      <c r="AG35" s="117"/>
      <c r="AH35" s="117"/>
      <c r="AI35" s="117"/>
      <c r="AJ35" s="117"/>
      <c r="AK35" s="117"/>
      <c r="AL35" s="117"/>
      <c r="AM35" s="117"/>
      <c r="AN35" s="117"/>
      <c r="AO35" s="117"/>
      <c r="AP35" s="117"/>
    </row>
    <row r="36" spans="1:42">
      <c r="A36" s="72" t="s">
        <v>311</v>
      </c>
      <c r="B36" s="1918"/>
      <c r="C36" s="76"/>
      <c r="D36" s="77" t="e">
        <f t="shared" ref="D36:AB36" si="36">D24/C12</f>
        <v>#DIV/0!</v>
      </c>
      <c r="E36" s="77" t="e">
        <f t="shared" si="36"/>
        <v>#DIV/0!</v>
      </c>
      <c r="F36" s="77" t="e">
        <f t="shared" si="36"/>
        <v>#DIV/0!</v>
      </c>
      <c r="G36" s="77" t="e">
        <f t="shared" si="36"/>
        <v>#DIV/0!</v>
      </c>
      <c r="H36" s="77" t="e">
        <f t="shared" si="36"/>
        <v>#DIV/0!</v>
      </c>
      <c r="I36" s="77" t="e">
        <f t="shared" si="36"/>
        <v>#DIV/0!</v>
      </c>
      <c r="J36" s="77" t="e">
        <f t="shared" si="36"/>
        <v>#DIV/0!</v>
      </c>
      <c r="K36" s="77" t="e">
        <f t="shared" si="36"/>
        <v>#DIV/0!</v>
      </c>
      <c r="L36" s="77" t="e">
        <f t="shared" si="36"/>
        <v>#DIV/0!</v>
      </c>
      <c r="M36" s="77" t="e">
        <f t="shared" si="36"/>
        <v>#DIV/0!</v>
      </c>
      <c r="N36" s="77" t="e">
        <f t="shared" si="36"/>
        <v>#DIV/0!</v>
      </c>
      <c r="O36" s="77" t="e">
        <f t="shared" si="36"/>
        <v>#DIV/0!</v>
      </c>
      <c r="P36" s="77" t="e">
        <f t="shared" si="36"/>
        <v>#DIV/0!</v>
      </c>
      <c r="Q36" s="77" t="e">
        <f t="shared" si="36"/>
        <v>#DIV/0!</v>
      </c>
      <c r="R36" s="77" t="e">
        <f t="shared" si="36"/>
        <v>#DIV/0!</v>
      </c>
      <c r="S36" s="77" t="e">
        <f t="shared" si="36"/>
        <v>#DIV/0!</v>
      </c>
      <c r="T36" s="77" t="e">
        <f t="shared" si="36"/>
        <v>#DIV/0!</v>
      </c>
      <c r="U36" s="77" t="e">
        <f t="shared" si="36"/>
        <v>#DIV/0!</v>
      </c>
      <c r="V36" s="77" t="e">
        <f t="shared" si="36"/>
        <v>#DIV/0!</v>
      </c>
      <c r="W36" s="77" t="e">
        <f t="shared" si="36"/>
        <v>#DIV/0!</v>
      </c>
      <c r="X36" s="77">
        <f t="shared" si="36"/>
        <v>-3.8685155502208066E-2</v>
      </c>
      <c r="Y36" s="77">
        <f t="shared" si="36"/>
        <v>-1.7464329449390584E-2</v>
      </c>
      <c r="Z36" s="77">
        <f t="shared" si="36"/>
        <v>-0.3732138019655093</v>
      </c>
      <c r="AA36" s="77">
        <f t="shared" si="36"/>
        <v>8.7960618926260434E-3</v>
      </c>
      <c r="AB36" s="77">
        <f t="shared" si="36"/>
        <v>0.25159088330357154</v>
      </c>
      <c r="AC36" s="298">
        <f>AVERAGE(X36:AB36,AE36)</f>
        <v>-9.043073455002092E-3</v>
      </c>
      <c r="AD36" s="298">
        <f t="shared" si="29"/>
        <v>-2.8074742475799323E-2</v>
      </c>
      <c r="AE36" s="77">
        <f t="shared" ref="AE36:AE37" si="37">AE24/AD12</f>
        <v>0.11471790099089781</v>
      </c>
      <c r="AF36" s="117"/>
      <c r="AG36" s="117"/>
      <c r="AH36" s="117"/>
      <c r="AI36" s="117"/>
      <c r="AJ36" s="117"/>
      <c r="AK36" s="117"/>
      <c r="AL36" s="117"/>
      <c r="AM36" s="117"/>
      <c r="AN36" s="117"/>
      <c r="AO36" s="117"/>
      <c r="AP36" s="117"/>
    </row>
    <row r="37" spans="1:42">
      <c r="A37" s="72" t="s">
        <v>314</v>
      </c>
      <c r="B37" s="1919"/>
      <c r="C37" s="76"/>
      <c r="D37" s="77" t="e">
        <f t="shared" ref="D37:AB37" si="38">D25/C13</f>
        <v>#DIV/0!</v>
      </c>
      <c r="E37" s="77" t="e">
        <f t="shared" si="38"/>
        <v>#DIV/0!</v>
      </c>
      <c r="F37" s="77" t="e">
        <f t="shared" si="38"/>
        <v>#DIV/0!</v>
      </c>
      <c r="G37" s="77" t="e">
        <f t="shared" si="38"/>
        <v>#DIV/0!</v>
      </c>
      <c r="H37" s="77" t="e">
        <f t="shared" si="38"/>
        <v>#DIV/0!</v>
      </c>
      <c r="I37" s="77" t="e">
        <f t="shared" si="38"/>
        <v>#DIV/0!</v>
      </c>
      <c r="J37" s="77" t="e">
        <f t="shared" si="38"/>
        <v>#DIV/0!</v>
      </c>
      <c r="K37" s="77" t="e">
        <f t="shared" si="38"/>
        <v>#DIV/0!</v>
      </c>
      <c r="L37" s="77" t="e">
        <f t="shared" si="38"/>
        <v>#DIV/0!</v>
      </c>
      <c r="M37" s="77" t="e">
        <f t="shared" si="38"/>
        <v>#DIV/0!</v>
      </c>
      <c r="N37" s="77" t="e">
        <f t="shared" si="38"/>
        <v>#DIV/0!</v>
      </c>
      <c r="O37" s="77" t="e">
        <f t="shared" si="38"/>
        <v>#DIV/0!</v>
      </c>
      <c r="P37" s="77" t="e">
        <f t="shared" si="38"/>
        <v>#DIV/0!</v>
      </c>
      <c r="Q37" s="77" t="e">
        <f t="shared" si="38"/>
        <v>#DIV/0!</v>
      </c>
      <c r="R37" s="77" t="e">
        <f t="shared" si="38"/>
        <v>#DIV/0!</v>
      </c>
      <c r="S37" s="77" t="e">
        <f t="shared" si="38"/>
        <v>#DIV/0!</v>
      </c>
      <c r="T37" s="77" t="e">
        <f t="shared" si="38"/>
        <v>#DIV/0!</v>
      </c>
      <c r="U37" s="77" t="e">
        <f t="shared" si="38"/>
        <v>#DIV/0!</v>
      </c>
      <c r="V37" s="77" t="e">
        <f t="shared" si="38"/>
        <v>#DIV/0!</v>
      </c>
      <c r="W37" s="77" t="e">
        <f t="shared" si="38"/>
        <v>#DIV/0!</v>
      </c>
      <c r="X37" s="77">
        <f t="shared" si="38"/>
        <v>-1.4446239449501842E-2</v>
      </c>
      <c r="Y37" s="77">
        <f t="shared" si="38"/>
        <v>-0.18647523375834393</v>
      </c>
      <c r="Z37" s="77">
        <f t="shared" si="38"/>
        <v>-0.24516170283793284</v>
      </c>
      <c r="AA37" s="77">
        <f t="shared" si="38"/>
        <v>2.8861410492804898E-2</v>
      </c>
      <c r="AB37" s="77">
        <f t="shared" si="38"/>
        <v>0.23220945796074735</v>
      </c>
      <c r="AC37" s="298">
        <f>AVERAGE(X37:AB37,AE37)</f>
        <v>-9.005022138910912E-3</v>
      </c>
      <c r="AD37" s="298">
        <f t="shared" si="29"/>
        <v>-0.10046073660392289</v>
      </c>
      <c r="AE37" s="77">
        <f t="shared" si="37"/>
        <v>0.13098217475876092</v>
      </c>
      <c r="AF37" s="117"/>
      <c r="AG37" s="117"/>
      <c r="AH37" s="117"/>
      <c r="AI37" s="117"/>
      <c r="AJ37" s="117"/>
      <c r="AK37" s="117"/>
      <c r="AL37" s="117"/>
      <c r="AM37" s="117"/>
      <c r="AN37" s="117"/>
      <c r="AO37" s="117"/>
      <c r="AP37" s="117"/>
    </row>
    <row r="38" spans="1:42" s="112" customFormat="1">
      <c r="A38" s="74" t="s">
        <v>203</v>
      </c>
      <c r="B38" s="74"/>
      <c r="C38" s="75"/>
      <c r="D38" s="78" t="e">
        <f t="shared" ref="D38:AB38" si="39">D26/C14</f>
        <v>#DIV/0!</v>
      </c>
      <c r="E38" s="78" t="e">
        <f t="shared" si="39"/>
        <v>#DIV/0!</v>
      </c>
      <c r="F38" s="78" t="e">
        <f t="shared" si="39"/>
        <v>#DIV/0!</v>
      </c>
      <c r="G38" s="78" t="e">
        <f t="shared" si="39"/>
        <v>#DIV/0!</v>
      </c>
      <c r="H38" s="78" t="e">
        <f t="shared" si="39"/>
        <v>#DIV/0!</v>
      </c>
      <c r="I38" s="78" t="e">
        <f t="shared" si="39"/>
        <v>#DIV/0!</v>
      </c>
      <c r="J38" s="78" t="e">
        <f t="shared" si="39"/>
        <v>#DIV/0!</v>
      </c>
      <c r="K38" s="78" t="e">
        <f t="shared" si="39"/>
        <v>#DIV/0!</v>
      </c>
      <c r="L38" s="78" t="e">
        <f t="shared" si="39"/>
        <v>#DIV/0!</v>
      </c>
      <c r="M38" s="78" t="e">
        <f t="shared" si="39"/>
        <v>#DIV/0!</v>
      </c>
      <c r="N38" s="78" t="e">
        <f t="shared" si="39"/>
        <v>#DIV/0!</v>
      </c>
      <c r="O38" s="78" t="e">
        <f t="shared" si="39"/>
        <v>#DIV/0!</v>
      </c>
      <c r="P38" s="78" t="e">
        <f t="shared" si="39"/>
        <v>#DIV/0!</v>
      </c>
      <c r="Q38" s="78" t="e">
        <f t="shared" si="39"/>
        <v>#DIV/0!</v>
      </c>
      <c r="R38" s="78" t="e">
        <f t="shared" si="39"/>
        <v>#DIV/0!</v>
      </c>
      <c r="S38" s="78" t="e">
        <f t="shared" si="39"/>
        <v>#DIV/0!</v>
      </c>
      <c r="T38" s="78" t="e">
        <f t="shared" si="39"/>
        <v>#DIV/0!</v>
      </c>
      <c r="U38" s="78" t="e">
        <f t="shared" si="39"/>
        <v>#DIV/0!</v>
      </c>
      <c r="V38" s="78" t="e">
        <f t="shared" si="39"/>
        <v>#DIV/0!</v>
      </c>
      <c r="W38" s="78" t="e">
        <f t="shared" si="39"/>
        <v>#DIV/0!</v>
      </c>
      <c r="X38" s="78">
        <f t="shared" si="39"/>
        <v>-1.0694809940890657E-3</v>
      </c>
      <c r="Y38" s="78">
        <f t="shared" si="39"/>
        <v>-4.4235376696791603E-2</v>
      </c>
      <c r="Z38" s="78">
        <f t="shared" si="39"/>
        <v>-0.30381424259870737</v>
      </c>
      <c r="AA38" s="78">
        <f t="shared" si="39"/>
        <v>4.7796535674470057E-2</v>
      </c>
      <c r="AB38" s="78">
        <f t="shared" si="39"/>
        <v>0.22505240875582935</v>
      </c>
      <c r="AC38" s="100">
        <f t="shared" si="28"/>
        <v>-1.5254031171857724E-2</v>
      </c>
      <c r="AD38" s="100">
        <f>AVERAGE(AD30,AD31,AD33,AD35,AD36,AD37)</f>
        <v>-2.4102779473736725E-2</v>
      </c>
      <c r="AE38" s="100">
        <f>AVERAGE(AE33,AE36,AE37)</f>
        <v>8.589321764084927E-2</v>
      </c>
      <c r="AF38" s="118"/>
      <c r="AG38" s="118"/>
      <c r="AH38" s="118"/>
      <c r="AI38" s="118"/>
      <c r="AJ38" s="118"/>
      <c r="AK38" s="118"/>
      <c r="AL38" s="118"/>
      <c r="AM38" s="118"/>
      <c r="AN38" s="118"/>
      <c r="AO38" s="118"/>
      <c r="AP38" s="118"/>
    </row>
    <row r="40" spans="1:42" s="60" customFormat="1">
      <c r="A40" s="71">
        <v>4</v>
      </c>
      <c r="B40" s="71" t="s">
        <v>265</v>
      </c>
      <c r="C40" s="1910" t="s">
        <v>318</v>
      </c>
      <c r="D40" s="1910"/>
      <c r="E40" s="1910"/>
      <c r="F40" s="1910"/>
      <c r="G40" s="1910"/>
      <c r="H40" s="1910"/>
      <c r="I40" s="1910"/>
      <c r="J40" s="1910"/>
      <c r="K40" s="1910"/>
      <c r="L40" s="1910"/>
      <c r="M40" s="1910"/>
      <c r="N40" s="1910"/>
      <c r="O40" s="1910"/>
      <c r="P40" s="1910"/>
      <c r="Q40" s="1910"/>
      <c r="R40" s="1910"/>
      <c r="S40" s="1910"/>
      <c r="T40" s="1910"/>
      <c r="U40" s="1910"/>
      <c r="V40" s="1910"/>
      <c r="W40" s="1910"/>
      <c r="X40" s="1910"/>
      <c r="Y40" s="1910"/>
      <c r="Z40" s="1910"/>
      <c r="AA40" s="1910"/>
      <c r="AB40" s="1910"/>
      <c r="AC40" s="96"/>
      <c r="AD40" s="86"/>
      <c r="AE40" s="96"/>
      <c r="AF40" s="96"/>
      <c r="AG40" s="96"/>
      <c r="AH40" s="96"/>
      <c r="AI40" s="96"/>
      <c r="AJ40" s="96"/>
      <c r="AK40" s="96"/>
      <c r="AL40" s="96"/>
      <c r="AM40" s="96"/>
      <c r="AN40" s="96"/>
      <c r="AO40" s="96"/>
      <c r="AP40" s="96"/>
    </row>
    <row r="41" spans="1:42" s="60" customFormat="1">
      <c r="A41" s="71" t="s">
        <v>265</v>
      </c>
      <c r="B41" s="92" t="s">
        <v>357</v>
      </c>
      <c r="C41" s="72"/>
      <c r="D41" s="72"/>
      <c r="E41" s="72"/>
      <c r="F41" s="72"/>
      <c r="G41" s="72"/>
      <c r="H41" s="72"/>
      <c r="I41" s="72"/>
      <c r="J41" s="72"/>
      <c r="K41" s="72"/>
      <c r="L41" s="72"/>
      <c r="M41" s="72"/>
      <c r="N41" s="72"/>
      <c r="O41" s="72"/>
      <c r="P41" s="72"/>
      <c r="Q41" s="72"/>
      <c r="R41" s="72"/>
      <c r="S41" s="72"/>
      <c r="T41" s="72"/>
      <c r="U41" s="72"/>
      <c r="V41" s="72" t="s">
        <v>303</v>
      </c>
      <c r="W41" s="72" t="s">
        <v>304</v>
      </c>
      <c r="X41" s="72" t="s">
        <v>305</v>
      </c>
      <c r="Y41" s="72" t="s">
        <v>306</v>
      </c>
      <c r="Z41" s="72" t="s">
        <v>307</v>
      </c>
      <c r="AA41" s="72" t="s">
        <v>308</v>
      </c>
      <c r="AB41" s="72" t="s">
        <v>309</v>
      </c>
      <c r="AC41" s="72" t="s">
        <v>355</v>
      </c>
      <c r="AD41" s="72" t="s">
        <v>356</v>
      </c>
      <c r="AE41" s="72">
        <v>2023</v>
      </c>
      <c r="AF41" s="72" t="s">
        <v>341</v>
      </c>
      <c r="AG41" s="72" t="s">
        <v>342</v>
      </c>
      <c r="AH41" s="72" t="s">
        <v>343</v>
      </c>
      <c r="AI41" s="72" t="s">
        <v>344</v>
      </c>
      <c r="AJ41" s="72" t="s">
        <v>345</v>
      </c>
      <c r="AK41" s="72" t="s">
        <v>346</v>
      </c>
      <c r="AL41" s="72" t="s">
        <v>347</v>
      </c>
      <c r="AM41" s="72" t="s">
        <v>348</v>
      </c>
      <c r="AN41" s="72" t="s">
        <v>349</v>
      </c>
      <c r="AO41" s="72" t="s">
        <v>350</v>
      </c>
      <c r="AP41" s="72" t="s">
        <v>353</v>
      </c>
    </row>
    <row r="42" spans="1:42" s="60" customFormat="1" ht="13.15" customHeight="1">
      <c r="A42" s="90" t="s">
        <v>315</v>
      </c>
      <c r="B42" s="72"/>
      <c r="C42" s="72"/>
      <c r="D42" s="72"/>
      <c r="E42" s="72"/>
      <c r="F42" s="72"/>
      <c r="G42" s="72"/>
      <c r="H42" s="72"/>
      <c r="I42" s="72"/>
      <c r="J42" s="72"/>
      <c r="K42" s="72"/>
      <c r="L42" s="72"/>
      <c r="M42" s="72"/>
      <c r="N42" s="72"/>
      <c r="O42" s="72"/>
      <c r="P42" s="72"/>
      <c r="Q42" s="72"/>
      <c r="R42" s="72"/>
      <c r="S42" s="72"/>
      <c r="T42" s="72"/>
      <c r="U42" s="72"/>
      <c r="V42" s="108">
        <f>'DM_03_Kraje počet cest. CVD,PAD'!V55</f>
        <v>22035505.213960234</v>
      </c>
      <c r="W42" s="168">
        <f>'DM_03_Kraje počet cest. CVD,PAD'!W55</f>
        <v>21666000</v>
      </c>
      <c r="X42" s="168">
        <f>'DM_03_Kraje počet cest. CVD,PAD'!X55</f>
        <v>21491000</v>
      </c>
      <c r="Y42" s="168">
        <f>'DM_03_Kraje počet cest. CVD,PAD'!Y55</f>
        <v>21057000</v>
      </c>
      <c r="Z42" s="168">
        <f>'DM_03_Kraje počet cest. CVD,PAD'!Z55</f>
        <v>13569000</v>
      </c>
      <c r="AA42" s="168">
        <f>'DM_03_Kraje počet cest. CVD,PAD'!AA55</f>
        <v>14217000</v>
      </c>
      <c r="AB42" s="168">
        <f>'DM_03_Kraje počet cest. CVD,PAD'!AB55</f>
        <v>18175000</v>
      </c>
      <c r="AC42" s="108">
        <f>'DM_03_Kraje počet cest. CVD,PAD'!AD55</f>
        <v>18362500</v>
      </c>
      <c r="AD42" s="108">
        <f>'DM_03_Kraje počet cest. CVD,PAD'!AE55</f>
        <v>21404666.666666668</v>
      </c>
      <c r="AE42" s="108">
        <f>'DM_03_Kraje počet cest. CVD,PAD'!AC55</f>
        <v>19281461.491489537</v>
      </c>
      <c r="AF42" s="108">
        <f>'DM_03_Kraje počet cest. CVD,PAD'!AF55</f>
        <v>19281461.491489537</v>
      </c>
      <c r="AG42" s="108">
        <f>'DM_03_Kraje počet cest. CVD,PAD'!AG55</f>
        <v>18991980.550136454</v>
      </c>
      <c r="AH42" s="108">
        <f>'DM_03_Kraje počet cest. CVD,PAD'!AH55</f>
        <v>18706845.711667929</v>
      </c>
      <c r="AI42" s="108">
        <f>'DM_03_Kraje počet cest. CVD,PAD'!AI55</f>
        <v>18425991.726156987</v>
      </c>
      <c r="AJ42" s="108">
        <f>'DM_03_Kraje počet cest. CVD,PAD'!AJ55</f>
        <v>18149354.323302105</v>
      </c>
      <c r="AK42" s="108">
        <f>'DM_03_Kraje počet cest. CVD,PAD'!AK55</f>
        <v>17876870.197719656</v>
      </c>
      <c r="AL42" s="108">
        <f>'DM_03_Kraje počet cest. CVD,PAD'!AL55</f>
        <v>17608476.994457189</v>
      </c>
      <c r="AM42" s="108">
        <f>'DM_03_Kraje počet cest. CVD,PAD'!AM55</f>
        <v>17344113.294724185</v>
      </c>
      <c r="AN42" s="108">
        <f>'DM_03_Kraje počet cest. CVD,PAD'!AN55</f>
        <v>17083718.601837061</v>
      </c>
      <c r="AO42" s="108">
        <f>'DM_03_Kraje počet cest. CVD,PAD'!AO55</f>
        <v>16827233.327375174</v>
      </c>
      <c r="AP42" s="73"/>
    </row>
    <row r="43" spans="1:42" s="60" customFormat="1">
      <c r="A43" s="90" t="s">
        <v>310</v>
      </c>
      <c r="B43" s="72"/>
      <c r="C43" s="72"/>
      <c r="D43" s="72"/>
      <c r="E43" s="72"/>
      <c r="F43" s="72"/>
      <c r="G43" s="72"/>
      <c r="H43" s="72"/>
      <c r="I43" s="72"/>
      <c r="J43" s="72"/>
      <c r="K43" s="72"/>
      <c r="L43" s="72"/>
      <c r="M43" s="72"/>
      <c r="N43" s="72"/>
      <c r="O43" s="72"/>
      <c r="P43" s="72"/>
      <c r="Q43" s="72"/>
      <c r="R43" s="72"/>
      <c r="S43" s="72"/>
      <c r="T43" s="72"/>
      <c r="U43" s="72"/>
      <c r="V43" s="108">
        <f>'DM_03_Kraje počet cest. CVD,PAD'!V56</f>
        <v>9924856.297384385</v>
      </c>
      <c r="W43" s="108">
        <f>'DM_03_Kraje počet cest. CVD,PAD'!W56</f>
        <v>10347766.705379458</v>
      </c>
      <c r="X43" s="108">
        <f>'DM_03_Kraje počet cest. CVD,PAD'!X56</f>
        <v>11512059.688365895</v>
      </c>
      <c r="Y43" s="108">
        <f>'DM_03_Kraje počet cest. CVD,PAD'!Y56</f>
        <v>11620366.012364633</v>
      </c>
      <c r="Z43" s="108">
        <f>'DM_03_Kraje počet cest. CVD,PAD'!Z56</f>
        <v>7352581.10241435</v>
      </c>
      <c r="AA43" s="108">
        <f>'DM_03_Kraje počet cest. CVD,PAD'!AA56</f>
        <v>8278342.3004035652</v>
      </c>
      <c r="AB43" s="108">
        <f>'DM_03_Kraje počet cest. CVD,PAD'!AB56</f>
        <v>9120295.0333937574</v>
      </c>
      <c r="AC43" s="108">
        <f>'DM_03_Kraje počet cest. CVD,PAD'!AD56</f>
        <v>9705235.1403869428</v>
      </c>
      <c r="AD43" s="108">
        <f>'DM_03_Kraje počet cest. CVD,PAD'!AE56</f>
        <v>11160064.135369996</v>
      </c>
      <c r="AE43" s="108">
        <f>'DM_03_Kraje počet cest. CVD,PAD'!AC56</f>
        <v>9675522.2821130678</v>
      </c>
      <c r="AF43" s="108">
        <f>'DM_03_Kraje počet cest. CVD,PAD'!AF56</f>
        <v>9675522.2821130678</v>
      </c>
      <c r="AG43" s="108">
        <f>'DM_03_Kraje počet cest. CVD,PAD'!AG56</f>
        <v>10206178.452223534</v>
      </c>
      <c r="AH43" s="108">
        <f>'DM_03_Kraje počet cest. CVD,PAD'!AH56</f>
        <v>10206178.452223534</v>
      </c>
      <c r="AI43" s="108">
        <f>'DM_03_Kraje počet cest. CVD,PAD'!AI56</f>
        <v>10765938.577930991</v>
      </c>
      <c r="AJ43" s="108">
        <f>'DM_03_Kraje počet cest. CVD,PAD'!AJ56</f>
        <v>11356398.872148998</v>
      </c>
      <c r="AK43" s="108">
        <f>'DM_03_Kraje počet cest. CVD,PAD'!AK56</f>
        <v>11979243.09244315</v>
      </c>
      <c r="AL43" s="108">
        <f>'DM_03_Kraje počet cest. CVD,PAD'!AL56</f>
        <v>12636247.342436964</v>
      </c>
      <c r="AM43" s="108">
        <f>'DM_03_Kraje počet cest. CVD,PAD'!AM56</f>
        <v>13329285.136551961</v>
      </c>
      <c r="AN43" s="108">
        <f>'DM_03_Kraje počet cest. CVD,PAD'!AN56</f>
        <v>14060332.742524533</v>
      </c>
      <c r="AO43" s="108">
        <f>'DM_03_Kraje počet cest. CVD,PAD'!AO56</f>
        <v>14831474.816934327</v>
      </c>
      <c r="AP43" s="73"/>
    </row>
    <row r="44" spans="1:42" s="60" customFormat="1" ht="13.15" customHeight="1">
      <c r="A44" s="90" t="s">
        <v>317</v>
      </c>
      <c r="B44" s="72"/>
      <c r="C44" s="72"/>
      <c r="D44" s="72"/>
      <c r="E44" s="72"/>
      <c r="F44" s="72"/>
      <c r="G44" s="72"/>
      <c r="H44" s="72"/>
      <c r="I44" s="72"/>
      <c r="J44" s="72"/>
      <c r="K44" s="72"/>
      <c r="L44" s="72"/>
      <c r="M44" s="72"/>
      <c r="N44" s="72"/>
      <c r="O44" s="72"/>
      <c r="P44" s="72"/>
      <c r="Q44" s="72"/>
      <c r="R44" s="72"/>
      <c r="S44" s="72"/>
      <c r="T44" s="72"/>
      <c r="U44" s="72"/>
      <c r="V44" s="108">
        <f>'DM_03_Kraje počet cest. CVD,PAD'!V57</f>
        <v>15760504.183316406</v>
      </c>
      <c r="W44" s="108">
        <f>'DM_03_Kraje počet cest. CVD,PAD'!W57</f>
        <v>15308583.152821669</v>
      </c>
      <c r="X44" s="108">
        <f>'DM_03_Kraje počet cest. CVD,PAD'!X57</f>
        <v>15591597.892318374</v>
      </c>
      <c r="Y44" s="108">
        <f>'DM_03_Kraje počet cest. CVD,PAD'!Y57</f>
        <v>15777910.556816204</v>
      </c>
      <c r="Z44" s="108">
        <f>'DM_03_Kraje počet cest. CVD,PAD'!Z57</f>
        <v>9715335.1348868255</v>
      </c>
      <c r="AA44" s="108">
        <f>'DM_03_Kraje počet cest. CVD,PAD'!AA57</f>
        <v>8922378.1198960636</v>
      </c>
      <c r="AB44" s="108">
        <f>'DM_03_Kraje počet cest. CVD,PAD'!AB57</f>
        <v>12541614.446853902</v>
      </c>
      <c r="AC44" s="108">
        <f>'DM_03_Kraje počet cest. CVD,PAD'!AD57</f>
        <v>12976236.550598839</v>
      </c>
      <c r="AD44" s="108">
        <f>'DM_03_Kraje počet cest. CVD,PAD'!AE57</f>
        <v>15559363.867318749</v>
      </c>
      <c r="AE44" s="108">
        <f>'DM_03_Kraje počet cest. CVD,PAD'!AC57</f>
        <v>13305125.501959966</v>
      </c>
      <c r="AF44" s="108">
        <f>'DM_03_Kraje počet cest. CVD,PAD'!AF57</f>
        <v>13305125.501959966</v>
      </c>
      <c r="AG44" s="108">
        <f>'DM_03_Kraje počet cest. CVD,PAD'!AG57</f>
        <v>13312942.727667049</v>
      </c>
      <c r="AH44" s="108">
        <f>'DM_03_Kraje počet cest. CVD,PAD'!AH57</f>
        <v>13312942.727667049</v>
      </c>
      <c r="AI44" s="108">
        <f>'DM_03_Kraje počet cest. CVD,PAD'!AI57</f>
        <v>13320764.546267128</v>
      </c>
      <c r="AJ44" s="108">
        <f>'DM_03_Kraje počet cest. CVD,PAD'!AJ57</f>
        <v>13328590.96045869</v>
      </c>
      <c r="AK44" s="108">
        <f>'DM_03_Kraje počet cest. CVD,PAD'!AK57</f>
        <v>13336421.972941807</v>
      </c>
      <c r="AL44" s="108">
        <f>'DM_03_Kraje počet cest. CVD,PAD'!AL57</f>
        <v>13344257.586418133</v>
      </c>
      <c r="AM44" s="108">
        <f>'DM_03_Kraje počet cest. CVD,PAD'!AM57</f>
        <v>13352097.803590914</v>
      </c>
      <c r="AN44" s="108">
        <f>'DM_03_Kraje počet cest. CVD,PAD'!AN57</f>
        <v>13359942.627164982</v>
      </c>
      <c r="AO44" s="108">
        <f>'DM_03_Kraje počet cest. CVD,PAD'!AO57</f>
        <v>13367792.059846757</v>
      </c>
      <c r="AP44" s="73"/>
    </row>
    <row r="45" spans="1:42" s="60" customFormat="1" ht="13.15" customHeight="1">
      <c r="A45" s="90" t="s">
        <v>313</v>
      </c>
      <c r="B45" s="72"/>
      <c r="C45" s="72"/>
      <c r="D45" s="72"/>
      <c r="E45" s="72"/>
      <c r="F45" s="72"/>
      <c r="G45" s="72"/>
      <c r="H45" s="72"/>
      <c r="I45" s="72"/>
      <c r="J45" s="72"/>
      <c r="K45" s="72"/>
      <c r="L45" s="72"/>
      <c r="M45" s="72"/>
      <c r="N45" s="72"/>
      <c r="O45" s="72"/>
      <c r="P45" s="72"/>
      <c r="Q45" s="72"/>
      <c r="R45" s="72"/>
      <c r="S45" s="72"/>
      <c r="T45" s="72"/>
      <c r="U45" s="72"/>
      <c r="V45" s="108">
        <f>'DM_03_Kraje počet cest. CVD,PAD'!V58</f>
        <v>18454524.200302899</v>
      </c>
      <c r="W45" s="168">
        <f>'DM_03_Kraje počet cest. CVD,PAD'!W58</f>
        <v>18740503</v>
      </c>
      <c r="X45" s="168">
        <f>'DM_03_Kraje počet cest. CVD,PAD'!X58</f>
        <v>18100520</v>
      </c>
      <c r="Y45" s="168">
        <f>'DM_03_Kraje počet cest. CVD,PAD'!Y58</f>
        <v>17596582</v>
      </c>
      <c r="Z45" s="168">
        <f>'DM_03_Kraje počet cest. CVD,PAD'!Z58</f>
        <v>11452407</v>
      </c>
      <c r="AA45" s="168">
        <f>'DM_03_Kraje počet cest. CVD,PAD'!AA58</f>
        <v>10983172</v>
      </c>
      <c r="AB45" s="168">
        <f>'DM_03_Kraje počet cest. CVD,PAD'!AB58</f>
        <v>13861366</v>
      </c>
      <c r="AC45" s="108">
        <f>'DM_03_Kraje počet cest. CVD,PAD'!AD58</f>
        <v>15031526.142857144</v>
      </c>
      <c r="AD45" s="108">
        <f>'DM_03_Kraje počet cest. CVD,PAD'!AE58</f>
        <v>18145868.333333332</v>
      </c>
      <c r="AE45" s="168">
        <f>'DM_03_Kraje počet cest. CVD,PAD'!AC58</f>
        <v>14486133</v>
      </c>
      <c r="AF45" s="108">
        <f>'DM_03_Kraje počet cest. CVD,PAD'!AF58</f>
        <v>14486133</v>
      </c>
      <c r="AG45" s="108">
        <f>'DM_03_Kraje počet cest. CVD,PAD'!AG58</f>
        <v>14037107.289898766</v>
      </c>
      <c r="AH45" s="108">
        <f>'DM_03_Kraje počet cest. CVD,PAD'!AH58</f>
        <v>14037107.289898766</v>
      </c>
      <c r="AI45" s="108">
        <f>'DM_03_Kraje počet cest. CVD,PAD'!AI58</f>
        <v>13602000.000146974</v>
      </c>
      <c r="AJ45" s="108">
        <f>'DM_03_Kraje počet cest. CVD,PAD'!AJ58</f>
        <v>13180379.702386145</v>
      </c>
      <c r="AK45" s="108">
        <f>'DM_03_Kraje počet cest. CVD,PAD'!AK58</f>
        <v>12771828.3412142</v>
      </c>
      <c r="AL45" s="108">
        <f>'DM_03_Kraje počet cest. CVD,PAD'!AL58</f>
        <v>12375940.819664815</v>
      </c>
      <c r="AM45" s="108">
        <f>'DM_03_Kraje počet cest. CVD,PAD'!AM58</f>
        <v>11992324.597535636</v>
      </c>
      <c r="AN45" s="108">
        <f>'DM_03_Kraje počet cest. CVD,PAD'!AN58</f>
        <v>11620599.302167099</v>
      </c>
      <c r="AO45" s="108">
        <f>'DM_03_Kraje počet cest. CVD,PAD'!AO58</f>
        <v>11260396.351285903</v>
      </c>
      <c r="AP45" s="73"/>
    </row>
    <row r="46" spans="1:42" s="60" customFormat="1" ht="13.15" customHeight="1">
      <c r="A46" s="90" t="s">
        <v>316</v>
      </c>
      <c r="B46" s="72"/>
      <c r="C46" s="72"/>
      <c r="D46" s="72"/>
      <c r="E46" s="72"/>
      <c r="F46" s="72"/>
      <c r="G46" s="72"/>
      <c r="H46" s="72"/>
      <c r="I46" s="72"/>
      <c r="J46" s="72"/>
      <c r="K46" s="72"/>
      <c r="L46" s="72"/>
      <c r="M46" s="72"/>
      <c r="N46" s="72"/>
      <c r="O46" s="72"/>
      <c r="P46" s="72"/>
      <c r="Q46" s="72"/>
      <c r="R46" s="72"/>
      <c r="S46" s="72"/>
      <c r="T46" s="72"/>
      <c r="U46" s="72"/>
      <c r="V46" s="108">
        <f>'DM_03_Kraje počet cest. CVD,PAD'!V59</f>
        <v>17709373.334793702</v>
      </c>
      <c r="W46" s="108">
        <f>'DM_03_Kraje počet cest. CVD,PAD'!W59</f>
        <v>17076297.08380108</v>
      </c>
      <c r="X46" s="108">
        <f>'DM_03_Kraje počet cest. CVD,PAD'!X59</f>
        <v>16628244.136306297</v>
      </c>
      <c r="Y46" s="108">
        <f>'DM_03_Kraje počet cest. CVD,PAD'!Y59</f>
        <v>16406474.04430888</v>
      </c>
      <c r="Z46" s="108">
        <f>'DM_03_Kraje počet cest. CVD,PAD'!Z59</f>
        <v>10238815.700880729</v>
      </c>
      <c r="AA46" s="108">
        <f>'DM_03_Kraje počet cest. CVD,PAD'!AA59</f>
        <v>10846749.412373645</v>
      </c>
      <c r="AB46" s="108">
        <f>'DM_03_Kraje počet cest. CVD,PAD'!AB59</f>
        <v>13902534.982338049</v>
      </c>
      <c r="AC46" s="108">
        <f>'DM_03_Kraje počet cest. CVD,PAD'!AD59</f>
        <v>14183185.893334782</v>
      </c>
      <c r="AD46" s="108">
        <f>'DM_03_Kraje počet cest. CVD,PAD'!AE59</f>
        <v>16703671.754805418</v>
      </c>
      <c r="AE46" s="108">
        <f>'DM_03_Kraje počet cest. CVD,PAD'!AC59</f>
        <v>14748896.445449093</v>
      </c>
      <c r="AF46" s="108">
        <f>'DM_03_Kraje počet cest. CVD,PAD'!AF59</f>
        <v>14748896.445449093</v>
      </c>
      <c r="AG46" s="108">
        <f>'DM_03_Kraje počet cest. CVD,PAD'!AG59</f>
        <v>14378584.411540389</v>
      </c>
      <c r="AH46" s="108">
        <f>'DM_03_Kraje počet cest. CVD,PAD'!AH59</f>
        <v>14378584.411540389</v>
      </c>
      <c r="AI46" s="108">
        <f>'DM_03_Kraje počet cest. CVD,PAD'!AI59</f>
        <v>14017570.090376826</v>
      </c>
      <c r="AJ46" s="108">
        <f>'DM_03_Kraje počet cest. CVD,PAD'!AJ59</f>
        <v>13665620.037040669</v>
      </c>
      <c r="AK46" s="108">
        <f>'DM_03_Kraje počet cest. CVD,PAD'!AK59</f>
        <v>13322506.667897616</v>
      </c>
      <c r="AL46" s="108">
        <f>'DM_03_Kraje počet cest. CVD,PAD'!AL59</f>
        <v>12988008.113432974</v>
      </c>
      <c r="AM46" s="108">
        <f>'DM_03_Kraje počet cest. CVD,PAD'!AM59</f>
        <v>12661908.074782817</v>
      </c>
      <c r="AN46" s="108">
        <f>'DM_03_Kraje počet cest. CVD,PAD'!AN59</f>
        <v>12343995.683867315</v>
      </c>
      <c r="AO46" s="108">
        <f>'DM_03_Kraje počet cest. CVD,PAD'!AO59</f>
        <v>12034065.367035806</v>
      </c>
      <c r="AP46" s="73"/>
    </row>
    <row r="47" spans="1:42" s="60" customFormat="1">
      <c r="A47" s="90" t="s">
        <v>312</v>
      </c>
      <c r="B47" s="72"/>
      <c r="C47" s="72"/>
      <c r="D47" s="72"/>
      <c r="E47" s="72"/>
      <c r="F47" s="72"/>
      <c r="G47" s="72"/>
      <c r="H47" s="72"/>
      <c r="I47" s="72"/>
      <c r="J47" s="72"/>
      <c r="K47" s="72"/>
      <c r="L47" s="72"/>
      <c r="M47" s="72"/>
      <c r="N47" s="72"/>
      <c r="O47" s="72"/>
      <c r="P47" s="72"/>
      <c r="Q47" s="72"/>
      <c r="R47" s="72"/>
      <c r="S47" s="72"/>
      <c r="T47" s="72"/>
      <c r="U47" s="72"/>
      <c r="V47" s="108">
        <f>'DM_03_Kraje počet cest. CVD,PAD'!V60</f>
        <v>22635847.262678534</v>
      </c>
      <c r="W47" s="168">
        <f>'DM_03_Kraje počet cest. CVD,PAD'!W60</f>
        <v>21819501</v>
      </c>
      <c r="X47" s="168">
        <f>'DM_03_Kraje počet cest. CVD,PAD'!X60</f>
        <v>21315444</v>
      </c>
      <c r="Y47" s="168">
        <f>'DM_03_Kraje počet cest. CVD,PAD'!Y60</f>
        <v>20979525</v>
      </c>
      <c r="Z47" s="168">
        <f>'DM_03_Kraje počet cest. CVD,PAD'!Z60</f>
        <v>13553733</v>
      </c>
      <c r="AA47" s="168">
        <f>'DM_03_Kraje počet cest. CVD,PAD'!AA60</f>
        <v>13520076</v>
      </c>
      <c r="AB47" s="168">
        <f>'DM_03_Kraje počet cest. CVD,PAD'!AB60</f>
        <v>17008803</v>
      </c>
      <c r="AC47" s="108">
        <f>'DM_03_Kraje počet cest. CVD,PAD'!AD60</f>
        <v>18032847</v>
      </c>
      <c r="AD47" s="108">
        <f>'DM_03_Kraje počet cest. CVD,PAD'!AE60</f>
        <v>21371490</v>
      </c>
      <c r="AE47" s="108">
        <f>'DM_03_Kraje počet cest. CVD,PAD'!AC60</f>
        <v>17008803</v>
      </c>
      <c r="AF47" s="108">
        <f>'DM_03_Kraje počet cest. CVD,PAD'!AF60</f>
        <v>17008803</v>
      </c>
      <c r="AG47" s="108">
        <f>'DM_03_Kraje počet cest. CVD,PAD'!AG60</f>
        <v>16584008.449369233</v>
      </c>
      <c r="AH47" s="108">
        <f>'DM_03_Kraje počet cest. CVD,PAD'!AH60</f>
        <v>16584008.449369233</v>
      </c>
      <c r="AI47" s="108">
        <f>'DM_03_Kraje počet cest. CVD,PAD'!AI60</f>
        <v>16169823.135040727</v>
      </c>
      <c r="AJ47" s="108">
        <f>'DM_03_Kraje počet cest. CVD,PAD'!AJ60</f>
        <v>15765982.091527635</v>
      </c>
      <c r="AK47" s="108">
        <f>'DM_03_Kraje počet cest. CVD,PAD'!AK60</f>
        <v>15372226.970851406</v>
      </c>
      <c r="AL47" s="108">
        <f>'DM_03_Kraje počet cest. CVD,PAD'!AL60</f>
        <v>14988305.877269631</v>
      </c>
      <c r="AM47" s="108">
        <f>'DM_03_Kraje počet cest. CVD,PAD'!AM60</f>
        <v>14613973.206131561</v>
      </c>
      <c r="AN47" s="108">
        <f>'DM_03_Kraje počet cest. CVD,PAD'!AN60</f>
        <v>14248989.486758202</v>
      </c>
      <c r="AO47" s="108">
        <f>'DM_03_Kraje počet cest. CVD,PAD'!AO60</f>
        <v>13893121.229246492</v>
      </c>
      <c r="AP47" s="73"/>
    </row>
    <row r="48" spans="1:42" s="60" customFormat="1">
      <c r="A48" s="90" t="s">
        <v>311</v>
      </c>
      <c r="B48" s="72"/>
      <c r="C48" s="72"/>
      <c r="D48" s="72"/>
      <c r="E48" s="72"/>
      <c r="F48" s="72"/>
      <c r="G48" s="72"/>
      <c r="H48" s="72"/>
      <c r="I48" s="72"/>
      <c r="J48" s="72"/>
      <c r="K48" s="72"/>
      <c r="L48" s="72"/>
      <c r="M48" s="72"/>
      <c r="N48" s="72"/>
      <c r="O48" s="72"/>
      <c r="P48" s="72"/>
      <c r="Q48" s="72"/>
      <c r="R48" s="72"/>
      <c r="S48" s="72"/>
      <c r="T48" s="72"/>
      <c r="U48" s="72"/>
      <c r="V48" s="108">
        <f>'DM_03_Kraje počet cest. CVD,PAD'!V61</f>
        <v>15971418.835276989</v>
      </c>
      <c r="W48" s="168">
        <f>'DM_03_Kraje počet cest. CVD,PAD'!W61</f>
        <v>16283320</v>
      </c>
      <c r="X48" s="168">
        <f>'DM_03_Kraje počet cest. CVD,PAD'!X61</f>
        <v>15785692</v>
      </c>
      <c r="Y48" s="168">
        <f>'DM_03_Kraje počet cest. CVD,PAD'!Y61</f>
        <v>15497538</v>
      </c>
      <c r="Z48" s="168">
        <f>'DM_03_Kraje počet cest. CVD,PAD'!Z61</f>
        <v>9247848</v>
      </c>
      <c r="AA48" s="168">
        <f>'DM_03_Kraje počet cest. CVD,PAD'!AA61</f>
        <v>9473837</v>
      </c>
      <c r="AB48" s="168">
        <f>'DM_03_Kraje počet cest. CVD,PAD'!AB61</f>
        <v>12517802</v>
      </c>
      <c r="AC48" s="108">
        <f>'DM_03_Kraje počet cest. CVD,PAD'!AD61</f>
        <v>13152274.428571429</v>
      </c>
      <c r="AD48" s="108">
        <f>'DM_03_Kraje počet cest. CVD,PAD'!AE61</f>
        <v>15855516.666666666</v>
      </c>
      <c r="AE48" s="168">
        <f>'DM_03_Kraje počet cest. CVD,PAD'!AC61</f>
        <v>13259884</v>
      </c>
      <c r="AF48" s="108">
        <f>'DM_03_Kraje počet cest. CVD,PAD'!AF61</f>
        <v>13259884</v>
      </c>
      <c r="AG48" s="108">
        <f>'DM_03_Kraje počet cest. CVD,PAD'!AG61</f>
        <v>13130440.940987693</v>
      </c>
      <c r="AH48" s="108">
        <f>'DM_03_Kraje počet cest. CVD,PAD'!AH61</f>
        <v>13130440.940987693</v>
      </c>
      <c r="AI48" s="108">
        <f>'DM_03_Kraje počet cest. CVD,PAD'!AI61</f>
        <v>13002261.505814513</v>
      </c>
      <c r="AJ48" s="108">
        <f>'DM_03_Kraje počet cest. CVD,PAD'!AJ61</f>
        <v>12875333.358977739</v>
      </c>
      <c r="AK48" s="108">
        <f>'DM_03_Kraje počet cest. CVD,PAD'!AK61</f>
        <v>12749644.28539389</v>
      </c>
      <c r="AL48" s="108">
        <f>'DM_03_Kraje počet cest. CVD,PAD'!AL61</f>
        <v>12625182.189223202</v>
      </c>
      <c r="AM48" s="108">
        <f>'DM_03_Kraje počet cest. CVD,PAD'!AM61</f>
        <v>12501935.092705559</v>
      </c>
      <c r="AN48" s="108">
        <f>'DM_03_Kraje počet cest. CVD,PAD'!AN61</f>
        <v>12379891.135007804</v>
      </c>
      <c r="AO48" s="108">
        <f>'DM_03_Kraje počet cest. CVD,PAD'!AO61</f>
        <v>12259038.571082301</v>
      </c>
      <c r="AP48" s="73"/>
    </row>
    <row r="49" spans="1:42" s="60" customFormat="1" ht="13.15" customHeight="1">
      <c r="A49" s="90" t="s">
        <v>314</v>
      </c>
      <c r="B49" s="72"/>
      <c r="C49" s="72"/>
      <c r="D49" s="72"/>
      <c r="E49" s="72"/>
      <c r="F49" s="72"/>
      <c r="G49" s="72"/>
      <c r="H49" s="72"/>
      <c r="I49" s="72"/>
      <c r="J49" s="72"/>
      <c r="K49" s="72"/>
      <c r="L49" s="72"/>
      <c r="M49" s="72"/>
      <c r="N49" s="72"/>
      <c r="O49" s="72"/>
      <c r="P49" s="72"/>
      <c r="Q49" s="72"/>
      <c r="R49" s="72"/>
      <c r="S49" s="72"/>
      <c r="T49" s="72"/>
      <c r="U49" s="72"/>
      <c r="V49" s="108">
        <f>'DM_03_Kraje počet cest. CVD,PAD'!V62</f>
        <v>28672687.25235296</v>
      </c>
      <c r="W49" s="108">
        <f>'DM_03_Kraje počet cest. CVD,PAD'!W62</f>
        <v>27558153.598851815</v>
      </c>
      <c r="X49" s="108">
        <f>'DM_03_Kraje počet cest. CVD,PAD'!X62</f>
        <v>27315798.629902571</v>
      </c>
      <c r="Y49" s="168">
        <f>'DM_03_Kraje počet cest. CVD,PAD'!Y62</f>
        <v>27101120</v>
      </c>
      <c r="Z49" s="168">
        <f>'DM_03_Kraje počet cest. CVD,PAD'!Z62</f>
        <v>17305207</v>
      </c>
      <c r="AA49" s="168">
        <f>'DM_03_Kraje počet cest. CVD,PAD'!AA62</f>
        <v>16650711</v>
      </c>
      <c r="AB49" s="168">
        <f>'DM_03_Kraje počet cest. CVD,PAD'!AB62</f>
        <v>21910576</v>
      </c>
      <c r="AC49" s="108">
        <f>'DM_03_Kraje počet cest. CVD,PAD'!AD62</f>
        <v>23066757.318393487</v>
      </c>
      <c r="AD49" s="108">
        <f>'DM_03_Kraje počet cest. CVD,PAD'!AE62</f>
        <v>27325024.076251462</v>
      </c>
      <c r="AE49" s="168">
        <f>'DM_03_Kraje počet cest. CVD,PAD'!AC62</f>
        <v>23625735</v>
      </c>
      <c r="AF49" s="108">
        <f>'DM_03_Kraje počet cest. CVD,PAD'!AF62</f>
        <v>23625735</v>
      </c>
      <c r="AG49" s="108">
        <f>'DM_03_Kraje počet cest. CVD,PAD'!AG62</f>
        <v>23188467.01389014</v>
      </c>
      <c r="AH49" s="108">
        <f>'DM_03_Kraje počet cest. CVD,PAD'!AH62</f>
        <v>23188467.01389014</v>
      </c>
      <c r="AI49" s="108">
        <f>'DM_03_Kraje počet cest. CVD,PAD'!AI62</f>
        <v>22759292.037021119</v>
      </c>
      <c r="AJ49" s="108">
        <f>'DM_03_Kraje počet cest. CVD,PAD'!AJ62</f>
        <v>22338060.282990422</v>
      </c>
      <c r="AK49" s="108">
        <f>'DM_03_Kraje počet cest. CVD,PAD'!AK62</f>
        <v>21924624.737660557</v>
      </c>
      <c r="AL49" s="108">
        <f>'DM_03_Kraje počet cest. CVD,PAD'!AL62</f>
        <v>21518841.107849624</v>
      </c>
      <c r="AM49" s="108">
        <f>'DM_03_Kraje počet cest. CVD,PAD'!AM62</f>
        <v>21120567.770971533</v>
      </c>
      <c r="AN49" s="108">
        <f>'DM_03_Kraje počet cest. CVD,PAD'!AN62</f>
        <v>20729665.725608308</v>
      </c>
      <c r="AO49" s="108">
        <f>'DM_03_Kraje počet cest. CVD,PAD'!AO62</f>
        <v>20345998.54299717</v>
      </c>
      <c r="AP49" s="73"/>
    </row>
    <row r="50" spans="1:42" s="61" customFormat="1">
      <c r="A50" s="74" t="s">
        <v>203</v>
      </c>
      <c r="B50" s="72"/>
      <c r="C50" s="72"/>
      <c r="D50" s="72"/>
      <c r="E50" s="72"/>
      <c r="F50" s="72"/>
      <c r="G50" s="72"/>
      <c r="H50" s="72"/>
      <c r="I50" s="72"/>
      <c r="J50" s="72"/>
      <c r="K50" s="72"/>
      <c r="L50" s="72"/>
      <c r="M50" s="72"/>
      <c r="N50" s="72"/>
      <c r="O50" s="72"/>
      <c r="P50" s="72"/>
      <c r="Q50" s="72"/>
      <c r="R50" s="72"/>
      <c r="S50" s="72"/>
      <c r="T50" s="72"/>
      <c r="U50" s="72"/>
      <c r="V50" s="75">
        <f>'DM_03_Kraje počet cest. CVD,PAD'!V63</f>
        <v>151164716.58006611</v>
      </c>
      <c r="W50" s="75">
        <f>'DM_03_Kraje počet cest. CVD,PAD'!W63</f>
        <v>148800124.54085404</v>
      </c>
      <c r="X50" s="75">
        <f>'DM_03_Kraje počet cest. CVD,PAD'!X63</f>
        <v>147740356.34689313</v>
      </c>
      <c r="Y50" s="75">
        <f>'DM_03_Kraje počet cest. CVD,PAD'!Y63</f>
        <v>146036515.61348972</v>
      </c>
      <c r="Z50" s="75">
        <f>'DM_03_Kraje počet cest. CVD,PAD'!Z63</f>
        <v>92434926.938181907</v>
      </c>
      <c r="AA50" s="75">
        <f>'DM_03_Kraje počet cest. CVD,PAD'!AA63</f>
        <v>92892265.832673281</v>
      </c>
      <c r="AB50" s="75">
        <f>'DM_03_Kraje počet cest. CVD,PAD'!AB63</f>
        <v>119037991.46258572</v>
      </c>
      <c r="AC50" s="75">
        <f>'DM_03_Kraje počet cest. CVD,PAD'!AC63</f>
        <v>125391560.72101167</v>
      </c>
      <c r="AD50" s="75">
        <f>'DM_03_Kraje počet cest. CVD,PAD'!AD63</f>
        <v>124490363.45577963</v>
      </c>
      <c r="AE50" s="101"/>
      <c r="AF50" s="101">
        <f>'DM_03_Kraje počet cest. CVD,PAD'!AF63</f>
        <v>125391560.72101167</v>
      </c>
      <c r="AG50" s="101">
        <f>'DM_03_Kraje počet cest. CVD,PAD'!AG63</f>
        <v>123829709.83571327</v>
      </c>
      <c r="AH50" s="101">
        <f>'DM_03_Kraje počet cest. CVD,PAD'!AH63</f>
        <v>123544574.99724475</v>
      </c>
      <c r="AI50" s="101">
        <f>'DM_03_Kraje počet cest. CVD,PAD'!AI63</f>
        <v>122063641.61875525</v>
      </c>
      <c r="AJ50" s="101">
        <f>'DM_03_Kraje počet cest. CVD,PAD'!AJ63</f>
        <v>120659719.6288324</v>
      </c>
      <c r="AK50" s="101">
        <f>'DM_03_Kraje počet cest. CVD,PAD'!AK63</f>
        <v>119333366.26612228</v>
      </c>
      <c r="AL50" s="101">
        <f>'DM_03_Kraje počet cest. CVD,PAD'!AL63</f>
        <v>118085260.03075254</v>
      </c>
      <c r="AM50" s="101">
        <f>'DM_03_Kraje počet cest. CVD,PAD'!AM63</f>
        <v>116916204.97699417</v>
      </c>
      <c r="AN50" s="101">
        <f>'DM_03_Kraje počet cest. CVD,PAD'!AN63</f>
        <v>115827135.30493531</v>
      </c>
      <c r="AO50" s="101">
        <f>'DM_03_Kraje počet cest. CVD,PAD'!AO63</f>
        <v>114819120.26580392</v>
      </c>
      <c r="AP50" s="97"/>
    </row>
    <row r="52" spans="1:42" s="60" customFormat="1">
      <c r="A52" s="71">
        <v>5</v>
      </c>
      <c r="B52" s="71" t="s">
        <v>265</v>
      </c>
      <c r="C52" s="1910" t="s">
        <v>869</v>
      </c>
      <c r="D52" s="1910"/>
      <c r="E52" s="1910"/>
      <c r="F52" s="1910"/>
      <c r="G52" s="1910"/>
      <c r="H52" s="1910"/>
      <c r="I52" s="1910"/>
      <c r="J52" s="1910"/>
      <c r="K52" s="1910"/>
      <c r="L52" s="1910"/>
      <c r="M52" s="1910"/>
      <c r="N52" s="1910"/>
      <c r="O52" s="1910"/>
      <c r="P52" s="1910"/>
      <c r="Q52" s="1910"/>
      <c r="R52" s="1910"/>
      <c r="S52" s="1910"/>
      <c r="T52" s="1910"/>
      <c r="U52" s="1910"/>
      <c r="V52" s="1910"/>
      <c r="W52" s="1910"/>
      <c r="X52" s="1910"/>
      <c r="Y52" s="1910"/>
      <c r="Z52" s="1910"/>
      <c r="AA52" s="1910"/>
      <c r="AB52" s="1910"/>
      <c r="AC52" s="96"/>
      <c r="AD52" s="86"/>
      <c r="AE52" s="96"/>
      <c r="AF52" s="96"/>
      <c r="AG52" s="96"/>
      <c r="AH52" s="96"/>
      <c r="AI52" s="96"/>
      <c r="AJ52" s="96"/>
      <c r="AK52" s="96"/>
      <c r="AL52" s="96"/>
      <c r="AM52" s="96"/>
      <c r="AN52" s="96"/>
      <c r="AO52" s="96"/>
      <c r="AP52" s="96"/>
    </row>
    <row r="53" spans="1:42" s="60" customFormat="1">
      <c r="A53" s="71" t="s">
        <v>265</v>
      </c>
      <c r="B53" s="92" t="s">
        <v>357</v>
      </c>
      <c r="C53" s="72"/>
      <c r="D53" s="72"/>
      <c r="E53" s="72"/>
      <c r="F53" s="72"/>
      <c r="G53" s="72"/>
      <c r="H53" s="72"/>
      <c r="I53" s="72"/>
      <c r="J53" s="72"/>
      <c r="K53" s="72"/>
      <c r="L53" s="72"/>
      <c r="M53" s="72"/>
      <c r="N53" s="72"/>
      <c r="O53" s="72"/>
      <c r="P53" s="72"/>
      <c r="Q53" s="72"/>
      <c r="R53" s="72"/>
      <c r="S53" s="72"/>
      <c r="T53" s="72"/>
      <c r="U53" s="72"/>
      <c r="V53" s="72" t="s">
        <v>303</v>
      </c>
      <c r="W53" s="72" t="s">
        <v>304</v>
      </c>
      <c r="X53" s="72" t="s">
        <v>305</v>
      </c>
      <c r="Y53" s="72" t="s">
        <v>306</v>
      </c>
      <c r="Z53" s="72" t="s">
        <v>307</v>
      </c>
      <c r="AA53" s="72" t="s">
        <v>308</v>
      </c>
      <c r="AB53" s="72" t="s">
        <v>309</v>
      </c>
      <c r="AC53" s="72" t="s">
        <v>355</v>
      </c>
      <c r="AD53" s="72" t="s">
        <v>356</v>
      </c>
      <c r="AE53" s="72">
        <v>2023</v>
      </c>
      <c r="AF53" s="72" t="s">
        <v>341</v>
      </c>
      <c r="AG53" s="72" t="s">
        <v>342</v>
      </c>
      <c r="AH53" s="72" t="s">
        <v>343</v>
      </c>
      <c r="AI53" s="72" t="s">
        <v>344</v>
      </c>
      <c r="AJ53" s="72" t="s">
        <v>345</v>
      </c>
      <c r="AK53" s="72" t="s">
        <v>346</v>
      </c>
      <c r="AL53" s="72" t="s">
        <v>347</v>
      </c>
      <c r="AM53" s="72" t="s">
        <v>348</v>
      </c>
      <c r="AN53" s="72" t="s">
        <v>349</v>
      </c>
      <c r="AO53" s="72" t="s">
        <v>350</v>
      </c>
      <c r="AP53" s="72" t="s">
        <v>353</v>
      </c>
    </row>
    <row r="54" spans="1:42" s="60" customFormat="1" ht="13.15" customHeight="1">
      <c r="A54" s="90" t="s">
        <v>315</v>
      </c>
      <c r="B54" s="72"/>
      <c r="C54" s="72"/>
      <c r="D54" s="72"/>
      <c r="E54" s="72"/>
      <c r="F54" s="72"/>
      <c r="G54" s="72"/>
      <c r="H54" s="72"/>
      <c r="I54" s="72"/>
      <c r="J54" s="72"/>
      <c r="K54" s="72"/>
      <c r="L54" s="72"/>
      <c r="M54" s="72"/>
      <c r="N54" s="72"/>
      <c r="O54" s="72"/>
      <c r="P54" s="72"/>
      <c r="Q54" s="72"/>
      <c r="R54" s="72"/>
      <c r="S54" s="72"/>
      <c r="T54" s="72"/>
      <c r="U54" s="72"/>
      <c r="V54" s="72"/>
      <c r="W54" s="369">
        <f>W6/W42</f>
        <v>0.59794267515923571</v>
      </c>
      <c r="X54" s="369">
        <f t="shared" ref="X54:AB55" si="40">X6/X42</f>
        <v>0.59709828114094277</v>
      </c>
      <c r="Y54" s="369">
        <f t="shared" si="40"/>
        <v>0.60131188725839391</v>
      </c>
      <c r="Z54" s="369">
        <f t="shared" si="40"/>
        <v>0.62666240769400849</v>
      </c>
      <c r="AA54" s="369">
        <f t="shared" si="40"/>
        <v>0.60088485123443758</v>
      </c>
      <c r="AB54" s="369">
        <f t="shared" si="40"/>
        <v>0.58707566877579098</v>
      </c>
      <c r="AC54" s="424">
        <f>AVERAGE(W54:AB54)</f>
        <v>0.60182929521046813</v>
      </c>
      <c r="AD54" s="424">
        <f>AVERAGE(W54:Y54)</f>
        <v>0.59878428118619087</v>
      </c>
      <c r="AE54" s="371">
        <f>AC54</f>
        <v>0.60182929521046813</v>
      </c>
      <c r="AF54" s="371">
        <f>AE54*'DM_16_Vyvoj cien cest. lístkov'!$J$15+AE54</f>
        <v>0.61386588111467755</v>
      </c>
      <c r="AG54" s="371">
        <f>AF54*'DM_16_Vyvoj cien cest. lístkov'!$J$15+AF54</f>
        <v>0.62614319873697111</v>
      </c>
      <c r="AH54" s="371">
        <f>AG54*'DM_16_Vyvoj cien cest. lístkov'!$J$15+AG54</f>
        <v>0.63866606271171056</v>
      </c>
      <c r="AI54" s="371">
        <f>AH54*'DM_16_Vyvoj cien cest. lístkov'!$J$15+AH54</f>
        <v>0.65143938396594481</v>
      </c>
      <c r="AJ54" s="371">
        <f>AI54*'DM_16_Vyvoj cien cest. lístkov'!$J$15+AI54</f>
        <v>0.66446817164526373</v>
      </c>
      <c r="AK54" s="371">
        <f>AJ54*'DM_16_Vyvoj cien cest. lístkov'!$J$15+AJ54</f>
        <v>0.67775753507816905</v>
      </c>
      <c r="AL54" s="371">
        <f>AK54*'DM_16_Vyvoj cien cest. lístkov'!$J$15+AK54</f>
        <v>0.69131268577973248</v>
      </c>
      <c r="AM54" s="371">
        <f>AL54*'DM_16_Vyvoj cien cest. lístkov'!$J$15+AL54</f>
        <v>0.70513893949532713</v>
      </c>
      <c r="AN54" s="371">
        <f>AM54*'DM_16_Vyvoj cien cest. lístkov'!$J$15+AM54</f>
        <v>0.71924171828523364</v>
      </c>
      <c r="AO54" s="371">
        <f>AN54*'DM_16_Vyvoj cien cest. lístkov'!$J$15+AN54</f>
        <v>0.73362655265093835</v>
      </c>
      <c r="AP54" s="73"/>
    </row>
    <row r="55" spans="1:42" s="60" customFormat="1">
      <c r="A55" s="90" t="s">
        <v>310</v>
      </c>
      <c r="B55" s="72"/>
      <c r="C55" s="72"/>
      <c r="D55" s="72"/>
      <c r="E55" s="72"/>
      <c r="F55" s="72"/>
      <c r="G55" s="72"/>
      <c r="H55" s="72"/>
      <c r="I55" s="72"/>
      <c r="J55" s="72"/>
      <c r="K55" s="72"/>
      <c r="L55" s="72"/>
      <c r="M55" s="72"/>
      <c r="N55" s="72"/>
      <c r="O55" s="72"/>
      <c r="P55" s="72"/>
      <c r="Q55" s="72"/>
      <c r="R55" s="72"/>
      <c r="S55" s="72"/>
      <c r="T55" s="72"/>
      <c r="U55" s="72"/>
      <c r="V55" s="73"/>
      <c r="W55" s="369">
        <f>W7/W43</f>
        <v>1.6216949638277931</v>
      </c>
      <c r="X55" s="369">
        <f t="shared" si="40"/>
        <v>1.5963262614720599</v>
      </c>
      <c r="Y55" s="369">
        <f t="shared" si="40"/>
        <v>1.558899880803954</v>
      </c>
      <c r="Z55" s="369">
        <f t="shared" si="40"/>
        <v>1.8120761927146258</v>
      </c>
      <c r="AA55" s="369">
        <f t="shared" si="40"/>
        <v>1.7768824672809533</v>
      </c>
      <c r="AB55" s="369">
        <f t="shared" si="40"/>
        <v>1.7775521222203121</v>
      </c>
      <c r="AC55" s="424">
        <f t="shared" ref="AC55:AC59" si="41">AVERAGE(W55:AB55)</f>
        <v>1.6905719813866165</v>
      </c>
      <c r="AD55" s="424">
        <f t="shared" ref="AD55:AD61" si="42">AVERAGE(W55:Y55)</f>
        <v>1.5923070353679354</v>
      </c>
      <c r="AE55" s="371">
        <f t="shared" ref="AE55:AE59" si="43">AC55</f>
        <v>1.6905719813866165</v>
      </c>
      <c r="AF55" s="371">
        <f>AE55*'DM_16_Vyvoj cien cest. lístkov'!$J$15+AE55</f>
        <v>1.7243834210143487</v>
      </c>
      <c r="AG55" s="371">
        <f>AF55*'DM_16_Vyvoj cien cest. lístkov'!$J$15+AF55</f>
        <v>1.7588710894346358</v>
      </c>
      <c r="AH55" s="371">
        <f>AG55*'DM_16_Vyvoj cien cest. lístkov'!$J$15+AG55</f>
        <v>1.7940485112233284</v>
      </c>
      <c r="AI55" s="371">
        <f>AH55*'DM_16_Vyvoj cien cest. lístkov'!$J$15+AH55</f>
        <v>1.8299294814477949</v>
      </c>
      <c r="AJ55" s="371">
        <f>AI55*'DM_16_Vyvoj cien cest. lístkov'!$J$15+AI55</f>
        <v>1.8665280710767507</v>
      </c>
      <c r="AK55" s="371">
        <f>AJ55*'DM_16_Vyvoj cien cest. lístkov'!$J$15+AJ55</f>
        <v>1.9038586324982858</v>
      </c>
      <c r="AL55" s="371">
        <f>AK55*'DM_16_Vyvoj cien cest. lístkov'!$J$15+AK55</f>
        <v>1.9419358051482516</v>
      </c>
      <c r="AM55" s="371">
        <f>AL55*'DM_16_Vyvoj cien cest. lístkov'!$J$15+AL55</f>
        <v>1.9807745212512167</v>
      </c>
      <c r="AN55" s="371">
        <f>AM55*'DM_16_Vyvoj cien cest. lístkov'!$J$15+AM55</f>
        <v>2.0203900116762412</v>
      </c>
      <c r="AO55" s="371">
        <f>AN55*'DM_16_Vyvoj cien cest. lístkov'!$J$15+AN55</f>
        <v>2.0607978119097661</v>
      </c>
      <c r="AP55" s="73"/>
    </row>
    <row r="56" spans="1:42" s="60" customFormat="1" ht="13.15" customHeight="1">
      <c r="A56" s="90" t="s">
        <v>317</v>
      </c>
      <c r="B56" s="72"/>
      <c r="C56" s="72"/>
      <c r="D56" s="72"/>
      <c r="E56" s="72"/>
      <c r="F56" s="72"/>
      <c r="G56" s="72"/>
      <c r="H56" s="72"/>
      <c r="I56" s="72"/>
      <c r="J56" s="72"/>
      <c r="K56" s="72"/>
      <c r="L56" s="72"/>
      <c r="M56" s="72"/>
      <c r="N56" s="72"/>
      <c r="O56" s="72"/>
      <c r="P56" s="72"/>
      <c r="Q56" s="72"/>
      <c r="R56" s="72"/>
      <c r="S56" s="72"/>
      <c r="T56" s="72"/>
      <c r="U56" s="72"/>
      <c r="V56" s="73"/>
      <c r="W56" s="371">
        <f>W62</f>
        <v>0.56696922674221262</v>
      </c>
      <c r="X56" s="371">
        <f t="shared" ref="X56:AB56" si="44">X62</f>
        <v>0.56373632601547607</v>
      </c>
      <c r="Y56" s="371">
        <f t="shared" si="44"/>
        <v>0.54706731146883336</v>
      </c>
      <c r="Z56" s="371">
        <f t="shared" si="44"/>
        <v>0.59772727270620829</v>
      </c>
      <c r="AA56" s="371">
        <f t="shared" si="44"/>
        <v>0.61616541038838368</v>
      </c>
      <c r="AB56" s="371">
        <f t="shared" si="44"/>
        <v>0.59480968091006647</v>
      </c>
      <c r="AC56" s="371">
        <f t="shared" si="41"/>
        <v>0.58107920470519681</v>
      </c>
      <c r="AD56" s="371">
        <f t="shared" si="42"/>
        <v>0.55925762140884072</v>
      </c>
      <c r="AE56" s="371">
        <f t="shared" si="43"/>
        <v>0.58107920470519681</v>
      </c>
      <c r="AF56" s="371">
        <f>AE56*'DM_16_Vyvoj cien cest. lístkov'!$J$15+AE56</f>
        <v>0.59270078879930077</v>
      </c>
      <c r="AG56" s="371">
        <f>AF56*'DM_16_Vyvoj cien cest. lístkov'!$J$15+AF56</f>
        <v>0.60455480457528676</v>
      </c>
      <c r="AH56" s="371">
        <f>AG56*'DM_16_Vyvoj cien cest. lístkov'!$J$15+AG56</f>
        <v>0.61664590066679248</v>
      </c>
      <c r="AI56" s="371">
        <f>AH56*'DM_16_Vyvoj cien cest. lístkov'!$J$15+AH56</f>
        <v>0.62897881868012828</v>
      </c>
      <c r="AJ56" s="371">
        <f>AI56*'DM_16_Vyvoj cien cest. lístkov'!$J$15+AI56</f>
        <v>0.6415583950537308</v>
      </c>
      <c r="AK56" s="371">
        <f>AJ56*'DM_16_Vyvoj cien cest. lístkov'!$J$15+AJ56</f>
        <v>0.65438956295480544</v>
      </c>
      <c r="AL56" s="371">
        <f>AK56*'DM_16_Vyvoj cien cest. lístkov'!$J$15+AK56</f>
        <v>0.66747735421390153</v>
      </c>
      <c r="AM56" s="371">
        <f>AL56*'DM_16_Vyvoj cien cest. lístkov'!$J$15+AL56</f>
        <v>0.68082690129817958</v>
      </c>
      <c r="AN56" s="371">
        <f>AM56*'DM_16_Vyvoj cien cest. lístkov'!$J$15+AM56</f>
        <v>0.69444343932414321</v>
      </c>
      <c r="AO56" s="371">
        <f>AN56*'DM_16_Vyvoj cien cest. lístkov'!$J$15+AN56</f>
        <v>0.70833230811062609</v>
      </c>
      <c r="AP56" s="73"/>
    </row>
    <row r="57" spans="1:42" s="60" customFormat="1" ht="13.15" customHeight="1">
      <c r="A57" s="90" t="s">
        <v>313</v>
      </c>
      <c r="B57" s="72"/>
      <c r="C57" s="72"/>
      <c r="D57" s="72"/>
      <c r="E57" s="72"/>
      <c r="F57" s="72"/>
      <c r="G57" s="72"/>
      <c r="H57" s="72"/>
      <c r="I57" s="72"/>
      <c r="J57" s="72"/>
      <c r="K57" s="72"/>
      <c r="L57" s="72"/>
      <c r="M57" s="72"/>
      <c r="N57" s="72"/>
      <c r="O57" s="72"/>
      <c r="P57" s="72"/>
      <c r="Q57" s="72"/>
      <c r="R57" s="72"/>
      <c r="S57" s="72"/>
      <c r="T57" s="72"/>
      <c r="U57" s="72"/>
      <c r="V57" s="73"/>
      <c r="W57" s="369">
        <f>W9/W45</f>
        <v>0.57519817557725117</v>
      </c>
      <c r="X57" s="369">
        <f t="shared" ref="X57:AB57" si="45">X9/X45</f>
        <v>0.57621520652979386</v>
      </c>
      <c r="Y57" s="369">
        <f t="shared" si="45"/>
        <v>0.58058564043858052</v>
      </c>
      <c r="Z57" s="369">
        <f t="shared" si="45"/>
        <v>0.60956432215515921</v>
      </c>
      <c r="AA57" s="369">
        <f t="shared" si="45"/>
        <v>0.66031460219324645</v>
      </c>
      <c r="AB57" s="369">
        <f t="shared" si="45"/>
        <v>0.68176751050365447</v>
      </c>
      <c r="AC57" s="424">
        <f>AVERAGE(W57:AB57,AE57)</f>
        <v>0.62066741996549091</v>
      </c>
      <c r="AD57" s="424">
        <f t="shared" si="42"/>
        <v>0.57733300751520844</v>
      </c>
      <c r="AE57" s="369">
        <f t="shared" ref="AE57" si="46">AE9/AE45</f>
        <v>0.66102648236075112</v>
      </c>
      <c r="AF57" s="371">
        <f>AE57*'DM_16_Vyvoj cien cest. lístkov'!$J$15+AE57</f>
        <v>0.67424701200796611</v>
      </c>
      <c r="AG57" s="371">
        <f>AF57*'DM_16_Vyvoj cien cest. lístkov'!$J$15+AF57</f>
        <v>0.68773195224812544</v>
      </c>
      <c r="AH57" s="371">
        <f>AG57*'DM_16_Vyvoj cien cest. lístkov'!$J$15+AG57</f>
        <v>0.70148659129308799</v>
      </c>
      <c r="AI57" s="371">
        <f>AH57*'DM_16_Vyvoj cien cest. lístkov'!$J$15+AH57</f>
        <v>0.71551632311894975</v>
      </c>
      <c r="AJ57" s="371">
        <f>AI57*'DM_16_Vyvoj cien cest. lístkov'!$J$15+AI57</f>
        <v>0.7298266495813287</v>
      </c>
      <c r="AK57" s="371">
        <f>AJ57*'DM_16_Vyvoj cien cest. lístkov'!$J$15+AJ57</f>
        <v>0.74442318257295526</v>
      </c>
      <c r="AL57" s="371">
        <f>AK57*'DM_16_Vyvoj cien cest. lístkov'!$J$15+AK57</f>
        <v>0.75931164622441438</v>
      </c>
      <c r="AM57" s="371">
        <f>AL57*'DM_16_Vyvoj cien cest. lístkov'!$J$15+AL57</f>
        <v>0.77449787914890267</v>
      </c>
      <c r="AN57" s="371">
        <f>AM57*'DM_16_Vyvoj cien cest. lístkov'!$J$15+AM57</f>
        <v>0.78998783673188067</v>
      </c>
      <c r="AO57" s="371">
        <f>AN57*'DM_16_Vyvoj cien cest. lístkov'!$J$15+AN57</f>
        <v>0.80578759346651829</v>
      </c>
      <c r="AP57" s="73"/>
    </row>
    <row r="58" spans="1:42" s="60" customFormat="1" ht="13.15" customHeight="1">
      <c r="A58" s="90" t="s">
        <v>316</v>
      </c>
      <c r="B58" s="72"/>
      <c r="C58" s="72"/>
      <c r="D58" s="72"/>
      <c r="E58" s="72"/>
      <c r="F58" s="72"/>
      <c r="G58" s="72"/>
      <c r="H58" s="72"/>
      <c r="I58" s="72"/>
      <c r="J58" s="72"/>
      <c r="K58" s="72"/>
      <c r="L58" s="72"/>
      <c r="M58" s="72"/>
      <c r="N58" s="72"/>
      <c r="O58" s="72"/>
      <c r="P58" s="72"/>
      <c r="Q58" s="72"/>
      <c r="R58" s="72"/>
      <c r="S58" s="72"/>
      <c r="T58" s="72"/>
      <c r="U58" s="72"/>
      <c r="V58" s="73"/>
      <c r="W58" s="371">
        <f>W62</f>
        <v>0.56696922674221262</v>
      </c>
      <c r="X58" s="371">
        <f t="shared" ref="X58:AB58" si="47">X62</f>
        <v>0.56373632601547607</v>
      </c>
      <c r="Y58" s="371">
        <f t="shared" si="47"/>
        <v>0.54706731146883336</v>
      </c>
      <c r="Z58" s="371">
        <f t="shared" si="47"/>
        <v>0.59772727270620829</v>
      </c>
      <c r="AA58" s="371">
        <f t="shared" si="47"/>
        <v>0.61616541038838368</v>
      </c>
      <c r="AB58" s="371">
        <f t="shared" si="47"/>
        <v>0.59480968091006647</v>
      </c>
      <c r="AC58" s="371">
        <f t="shared" si="41"/>
        <v>0.58107920470519681</v>
      </c>
      <c r="AD58" s="371">
        <f t="shared" si="42"/>
        <v>0.55925762140884072</v>
      </c>
      <c r="AE58" s="371">
        <f t="shared" si="43"/>
        <v>0.58107920470519681</v>
      </c>
      <c r="AF58" s="371">
        <f>AE58*'DM_16_Vyvoj cien cest. lístkov'!$J$15+AE58</f>
        <v>0.59270078879930077</v>
      </c>
      <c r="AG58" s="371">
        <f>AF58*'DM_16_Vyvoj cien cest. lístkov'!$J$15+AF58</f>
        <v>0.60455480457528676</v>
      </c>
      <c r="AH58" s="371">
        <f>AG58*'DM_16_Vyvoj cien cest. lístkov'!$J$15+AG58</f>
        <v>0.61664590066679248</v>
      </c>
      <c r="AI58" s="371">
        <f>AH58*'DM_16_Vyvoj cien cest. lístkov'!$J$15+AH58</f>
        <v>0.62897881868012828</v>
      </c>
      <c r="AJ58" s="371">
        <f>AI58*'DM_16_Vyvoj cien cest. lístkov'!$J$15+AI58</f>
        <v>0.6415583950537308</v>
      </c>
      <c r="AK58" s="371">
        <f>AJ58*'DM_16_Vyvoj cien cest. lístkov'!$J$15+AJ58</f>
        <v>0.65438956295480544</v>
      </c>
      <c r="AL58" s="371">
        <f>AK58*'DM_16_Vyvoj cien cest. lístkov'!$J$15+AK58</f>
        <v>0.66747735421390153</v>
      </c>
      <c r="AM58" s="371">
        <f>AL58*'DM_16_Vyvoj cien cest. lístkov'!$J$15+AL58</f>
        <v>0.68082690129817958</v>
      </c>
      <c r="AN58" s="371">
        <f>AM58*'DM_16_Vyvoj cien cest. lístkov'!$J$15+AM58</f>
        <v>0.69444343932414321</v>
      </c>
      <c r="AO58" s="371">
        <f>AN58*'DM_16_Vyvoj cien cest. lístkov'!$J$15+AN58</f>
        <v>0.70833230811062609</v>
      </c>
      <c r="AP58" s="73"/>
    </row>
    <row r="59" spans="1:42" s="60" customFormat="1">
      <c r="A59" s="90" t="s">
        <v>312</v>
      </c>
      <c r="B59" s="72"/>
      <c r="C59" s="72"/>
      <c r="D59" s="72"/>
      <c r="E59" s="72"/>
      <c r="F59" s="72"/>
      <c r="G59" s="72"/>
      <c r="H59" s="72"/>
      <c r="I59" s="72"/>
      <c r="J59" s="72"/>
      <c r="K59" s="72"/>
      <c r="L59" s="72"/>
      <c r="M59" s="72"/>
      <c r="N59" s="72"/>
      <c r="O59" s="72"/>
      <c r="P59" s="72"/>
      <c r="Q59" s="72"/>
      <c r="R59" s="72"/>
      <c r="S59" s="72"/>
      <c r="T59" s="72"/>
      <c r="U59" s="72"/>
      <c r="V59" s="73"/>
      <c r="W59" s="369">
        <f>W11/W47</f>
        <v>0.54462575931502744</v>
      </c>
      <c r="X59" s="369">
        <f t="shared" ref="X59:AB61" si="48">X11/X47</f>
        <v>0.53613181550428879</v>
      </c>
      <c r="Y59" s="369">
        <f t="shared" si="48"/>
        <v>0.54525386394591868</v>
      </c>
      <c r="Z59" s="369">
        <f t="shared" si="48"/>
        <v>0.58124570847013146</v>
      </c>
      <c r="AA59" s="369">
        <f t="shared" si="48"/>
        <v>0.63878063407335872</v>
      </c>
      <c r="AB59" s="369">
        <f t="shared" si="48"/>
        <v>0.62317126607910023</v>
      </c>
      <c r="AC59" s="424">
        <f t="shared" si="41"/>
        <v>0.57820150789797087</v>
      </c>
      <c r="AD59" s="424">
        <f t="shared" si="42"/>
        <v>0.54200381292174493</v>
      </c>
      <c r="AE59" s="371">
        <f t="shared" si="43"/>
        <v>0.57820150789797087</v>
      </c>
      <c r="AF59" s="371">
        <f>AE59*'DM_16_Vyvoj cien cest. lístkov'!$J$15+AE59</f>
        <v>0.58976553805593024</v>
      </c>
      <c r="AG59" s="371">
        <f>AF59*'DM_16_Vyvoj cien cest. lístkov'!$J$15+AF59</f>
        <v>0.60156084881704885</v>
      </c>
      <c r="AH59" s="371">
        <f>AG59*'DM_16_Vyvoj cien cest. lístkov'!$J$15+AG59</f>
        <v>0.61359206579338987</v>
      </c>
      <c r="AI59" s="371">
        <f>AH59*'DM_16_Vyvoj cien cest. lístkov'!$J$15+AH59</f>
        <v>0.62586390710925766</v>
      </c>
      <c r="AJ59" s="371">
        <f>AI59*'DM_16_Vyvoj cien cest. lístkov'!$J$15+AI59</f>
        <v>0.63838118525144283</v>
      </c>
      <c r="AK59" s="371">
        <f>AJ59*'DM_16_Vyvoj cien cest. lístkov'!$J$15+AJ59</f>
        <v>0.65114880895647165</v>
      </c>
      <c r="AL59" s="371">
        <f>AK59*'DM_16_Vyvoj cien cest. lístkov'!$J$15+AK59</f>
        <v>0.66417178513560104</v>
      </c>
      <c r="AM59" s="371">
        <f>AL59*'DM_16_Vyvoj cien cest. lístkov'!$J$15+AL59</f>
        <v>0.67745522083831311</v>
      </c>
      <c r="AN59" s="371">
        <f>AM59*'DM_16_Vyvoj cien cest. lístkov'!$J$15+AM59</f>
        <v>0.69100432525507938</v>
      </c>
      <c r="AO59" s="371">
        <f>AN59*'DM_16_Vyvoj cien cest. lístkov'!$J$15+AN59</f>
        <v>0.70482441176018096</v>
      </c>
      <c r="AP59" s="73"/>
    </row>
    <row r="60" spans="1:42" s="60" customFormat="1">
      <c r="A60" s="90" t="s">
        <v>311</v>
      </c>
      <c r="B60" s="72"/>
      <c r="C60" s="72"/>
      <c r="D60" s="72"/>
      <c r="E60" s="72"/>
      <c r="F60" s="72"/>
      <c r="G60" s="72"/>
      <c r="H60" s="72"/>
      <c r="I60" s="72"/>
      <c r="J60" s="72"/>
      <c r="K60" s="72"/>
      <c r="L60" s="72"/>
      <c r="M60" s="72"/>
      <c r="N60" s="72"/>
      <c r="O60" s="72"/>
      <c r="P60" s="72"/>
      <c r="Q60" s="72"/>
      <c r="R60" s="72"/>
      <c r="S60" s="72"/>
      <c r="T60" s="72"/>
      <c r="U60" s="72"/>
      <c r="V60" s="73"/>
      <c r="W60" s="369">
        <f>W12/W48</f>
        <v>0.55011029691733626</v>
      </c>
      <c r="X60" s="369">
        <f t="shared" si="48"/>
        <v>0.54550000088687911</v>
      </c>
      <c r="Y60" s="369">
        <f t="shared" si="48"/>
        <v>0.54593884525400094</v>
      </c>
      <c r="Z60" s="369">
        <f t="shared" si="48"/>
        <v>0.57343665250553422</v>
      </c>
      <c r="AA60" s="369">
        <f t="shared" si="48"/>
        <v>0.5646815540524921</v>
      </c>
      <c r="AB60" s="369">
        <f t="shared" si="48"/>
        <v>0.534889192208025</v>
      </c>
      <c r="AC60" s="424">
        <f>AVERAGE(W60:AB60,AE60)</f>
        <v>0.55636792745947028</v>
      </c>
      <c r="AD60" s="424">
        <f t="shared" si="42"/>
        <v>0.54718304768607207</v>
      </c>
      <c r="AE60" s="369">
        <f t="shared" ref="AE60:AE61" si="49">AE12/AE48</f>
        <v>0.58001895039202456</v>
      </c>
      <c r="AF60" s="371">
        <f>AE60*'DM_16_Vyvoj cien cest. lístkov'!$J$15+AE60</f>
        <v>0.59161932939986506</v>
      </c>
      <c r="AG60" s="371">
        <f>AF60*'DM_16_Vyvoj cien cest. lístkov'!$J$15+AF60</f>
        <v>0.6034517159878624</v>
      </c>
      <c r="AH60" s="371">
        <f>AG60*'DM_16_Vyvoj cien cest. lístkov'!$J$15+AG60</f>
        <v>0.61552075030761966</v>
      </c>
      <c r="AI60" s="371">
        <f>AH60*'DM_16_Vyvoj cien cest. lístkov'!$J$15+AH60</f>
        <v>0.62783116531377203</v>
      </c>
      <c r="AJ60" s="371">
        <f>AI60*'DM_16_Vyvoj cien cest. lístkov'!$J$15+AI60</f>
        <v>0.64038778862004753</v>
      </c>
      <c r="AK60" s="371">
        <f>AJ60*'DM_16_Vyvoj cien cest. lístkov'!$J$15+AJ60</f>
        <v>0.65319554439244842</v>
      </c>
      <c r="AL60" s="371">
        <f>AK60*'DM_16_Vyvoj cien cest. lístkov'!$J$15+AK60</f>
        <v>0.6662594552802974</v>
      </c>
      <c r="AM60" s="371">
        <f>AL60*'DM_16_Vyvoj cien cest. lístkov'!$J$15+AL60</f>
        <v>0.67958464438590338</v>
      </c>
      <c r="AN60" s="371">
        <f>AM60*'DM_16_Vyvoj cien cest. lístkov'!$J$15+AM60</f>
        <v>0.69317633727362149</v>
      </c>
      <c r="AO60" s="371">
        <f>AN60*'DM_16_Vyvoj cien cest. lístkov'!$J$15+AN60</f>
        <v>0.70703986401909391</v>
      </c>
      <c r="AP60" s="73"/>
    </row>
    <row r="61" spans="1:42" s="60" customFormat="1" ht="13.15" customHeight="1">
      <c r="A61" s="90" t="s">
        <v>314</v>
      </c>
      <c r="B61" s="72"/>
      <c r="C61" s="72"/>
      <c r="D61" s="72"/>
      <c r="E61" s="72"/>
      <c r="F61" s="72"/>
      <c r="G61" s="72"/>
      <c r="H61" s="72"/>
      <c r="I61" s="72"/>
      <c r="J61" s="72"/>
      <c r="K61" s="72"/>
      <c r="L61" s="72"/>
      <c r="M61" s="72"/>
      <c r="N61" s="72"/>
      <c r="O61" s="72"/>
      <c r="P61" s="72"/>
      <c r="Q61" s="72"/>
      <c r="R61" s="72"/>
      <c r="S61" s="72"/>
      <c r="T61" s="72"/>
      <c r="U61" s="72"/>
      <c r="V61" s="73"/>
      <c r="W61" s="371">
        <f>W62</f>
        <v>0.56696922674221262</v>
      </c>
      <c r="X61" s="371">
        <f>X62</f>
        <v>0.56373632601547607</v>
      </c>
      <c r="Y61" s="369">
        <f t="shared" si="48"/>
        <v>0.46224632044727304</v>
      </c>
      <c r="Z61" s="369">
        <f t="shared" si="48"/>
        <v>0.54643414551469971</v>
      </c>
      <c r="AA61" s="369">
        <f t="shared" si="48"/>
        <v>0.58430381741656556</v>
      </c>
      <c r="AB61" s="369">
        <f t="shared" si="48"/>
        <v>0.54714476698376158</v>
      </c>
      <c r="AC61" s="424">
        <f>AVERAGE(W61:AB61,AE61)</f>
        <v>0.5512487219196901</v>
      </c>
      <c r="AD61" s="424">
        <f t="shared" si="42"/>
        <v>0.5309839577349873</v>
      </c>
      <c r="AE61" s="369">
        <f t="shared" si="49"/>
        <v>0.58790645031784194</v>
      </c>
      <c r="AF61" s="371">
        <f>AE61*'DM_16_Vyvoj cien cest. lístkov'!$J$15+AE61</f>
        <v>0.59966457932419881</v>
      </c>
      <c r="AG61" s="371">
        <f>AF61*'DM_16_Vyvoj cien cest. lístkov'!$J$15+AF61</f>
        <v>0.6116578709106828</v>
      </c>
      <c r="AH61" s="371">
        <f>AG61*'DM_16_Vyvoj cien cest. lístkov'!$J$15+AG61</f>
        <v>0.62389102832889642</v>
      </c>
      <c r="AI61" s="371">
        <f>AH61*'DM_16_Vyvoj cien cest. lístkov'!$J$15+AH61</f>
        <v>0.6363688488954744</v>
      </c>
      <c r="AJ61" s="371">
        <f>AI61*'DM_16_Vyvoj cien cest. lístkov'!$J$15+AI61</f>
        <v>0.64909622587338389</v>
      </c>
      <c r="AK61" s="371">
        <f>AJ61*'DM_16_Vyvoj cien cest. lístkov'!$J$15+AJ61</f>
        <v>0.66207815039085161</v>
      </c>
      <c r="AL61" s="371">
        <f>AK61*'DM_16_Vyvoj cien cest. lístkov'!$J$15+AK61</f>
        <v>0.67531971339866859</v>
      </c>
      <c r="AM61" s="371">
        <f>AL61*'DM_16_Vyvoj cien cest. lístkov'!$J$15+AL61</f>
        <v>0.68882610766664198</v>
      </c>
      <c r="AN61" s="371">
        <f>AM61*'DM_16_Vyvoj cien cest. lístkov'!$J$15+AM61</f>
        <v>0.70260262981997479</v>
      </c>
      <c r="AO61" s="371">
        <f>AN61*'DM_16_Vyvoj cien cest. lístkov'!$J$15+AN61</f>
        <v>0.71665468241637431</v>
      </c>
      <c r="AP61" s="73"/>
    </row>
    <row r="62" spans="1:42" s="61" customFormat="1">
      <c r="A62" s="74" t="s">
        <v>153</v>
      </c>
      <c r="B62" s="72"/>
      <c r="C62" s="72"/>
      <c r="D62" s="72"/>
      <c r="E62" s="72"/>
      <c r="F62" s="72"/>
      <c r="G62" s="72"/>
      <c r="H62" s="72"/>
      <c r="I62" s="72"/>
      <c r="J62" s="72"/>
      <c r="K62" s="72"/>
      <c r="L62" s="72"/>
      <c r="M62" s="72"/>
      <c r="N62" s="72"/>
      <c r="O62" s="72"/>
      <c r="P62" s="72"/>
      <c r="Q62" s="72"/>
      <c r="R62" s="72"/>
      <c r="S62" s="72"/>
      <c r="T62" s="72"/>
      <c r="U62" s="72"/>
      <c r="V62" s="75">
        <f>'DM_03_Kraje počet cest. CVD,PAD'!V75</f>
        <v>0</v>
      </c>
      <c r="W62" s="370">
        <f>AVERAGE(W54,W57,W59,W60)</f>
        <v>0.56696922674221262</v>
      </c>
      <c r="X62" s="370">
        <f>AVERAGE(X54,X57,X59,X60)</f>
        <v>0.56373632601547607</v>
      </c>
      <c r="Y62" s="370">
        <f>AVERAGE(Y54,Y57,Y59,Y60,Y61)</f>
        <v>0.54706731146883336</v>
      </c>
      <c r="Z62" s="370">
        <f>AVERAGE(Z54,Z57,Z59,Z60)</f>
        <v>0.59772727270620829</v>
      </c>
      <c r="AA62" s="370">
        <f>AVERAGE(AA54,AA57,AA59,AA60)</f>
        <v>0.61616541038838368</v>
      </c>
      <c r="AB62" s="370">
        <f>AVERAGE(AB54,AB57,AB59,AB60,AB61)</f>
        <v>0.59480968091006647</v>
      </c>
      <c r="AC62" s="372">
        <f>AVERAGE(AC59:AC61,AC54,AC57)</f>
        <v>0.58166297449061799</v>
      </c>
      <c r="AD62" s="372">
        <f>AVERAGE(AD59:AD61,AD54,AD57)</f>
        <v>0.55925762140884072</v>
      </c>
      <c r="AE62" s="370">
        <f>AVERAGE(AE60:AE61,AE57)</f>
        <v>0.60965062769020584</v>
      </c>
      <c r="AF62" s="370">
        <f>AVERAGE(AF60:AF61,AF57)</f>
        <v>0.62184364024400995</v>
      </c>
      <c r="AG62" s="370">
        <f t="shared" ref="AG62:AO62" si="50">AVERAGE(AG60:AG61,AG57)</f>
        <v>0.63428051304889033</v>
      </c>
      <c r="AH62" s="370">
        <f t="shared" si="50"/>
        <v>0.64696612330986802</v>
      </c>
      <c r="AI62" s="370">
        <f t="shared" si="50"/>
        <v>0.65990544577606547</v>
      </c>
      <c r="AJ62" s="370">
        <f t="shared" si="50"/>
        <v>0.67310355469158667</v>
      </c>
      <c r="AK62" s="370">
        <f t="shared" si="50"/>
        <v>0.68656562578541847</v>
      </c>
      <c r="AL62" s="370">
        <f t="shared" si="50"/>
        <v>0.70029693830112683</v>
      </c>
      <c r="AM62" s="370">
        <f t="shared" si="50"/>
        <v>0.71430287706714946</v>
      </c>
      <c r="AN62" s="370">
        <f t="shared" si="50"/>
        <v>0.72858893460849228</v>
      </c>
      <c r="AO62" s="370">
        <f t="shared" si="50"/>
        <v>0.74316071330066213</v>
      </c>
      <c r="AP62" s="97"/>
    </row>
    <row r="63" spans="1:42">
      <c r="W63" s="346" t="s">
        <v>868</v>
      </c>
    </row>
  </sheetData>
  <mergeCells count="8">
    <mergeCell ref="C52:AB52"/>
    <mergeCell ref="C40:AB40"/>
    <mergeCell ref="B30:B37"/>
    <mergeCell ref="C4:AB4"/>
    <mergeCell ref="B6:B13"/>
    <mergeCell ref="C16:AB16"/>
    <mergeCell ref="B18:B25"/>
    <mergeCell ref="C28:AB28"/>
  </mergeCells>
  <pageMargins left="0.75" right="0.75" top="1" bottom="1" header="0.5" footer="0.5"/>
  <pageSetup orientation="portrait"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dimension ref="A1:AE79"/>
  <sheetViews>
    <sheetView showGridLines="0" workbookViewId="0">
      <pane xSplit="2" ySplit="5" topLeftCell="C6" activePane="bottomRight" state="frozen"/>
      <selection pane="topRight" activeCell="C1" sqref="C1"/>
      <selection pane="bottomLeft" activeCell="A9" sqref="A9"/>
      <selection pane="bottomRight" activeCell="A9" sqref="A9:XFD9"/>
    </sheetView>
  </sheetViews>
  <sheetFormatPr defaultColWidth="8.85546875" defaultRowHeight="12" outlineLevelRow="1"/>
  <cols>
    <col min="1" max="1" width="13" style="631" customWidth="1"/>
    <col min="2" max="4" width="17" style="631" customWidth="1"/>
    <col min="5" max="5" width="11" style="631" customWidth="1"/>
    <col min="6" max="6" width="10.7109375" style="631" customWidth="1"/>
    <col min="7" max="7" width="10.85546875" style="631" customWidth="1"/>
    <col min="8" max="8" width="11.7109375" style="631" customWidth="1"/>
    <col min="9" max="9" width="13.7109375" style="631" customWidth="1"/>
    <col min="10" max="10" width="11.85546875" style="631" customWidth="1"/>
    <col min="11" max="17" width="9.85546875" style="631" bestFit="1" customWidth="1"/>
    <col min="18" max="18" width="12.140625" style="631" bestFit="1" customWidth="1"/>
    <col min="19" max="19" width="9.85546875" style="631" customWidth="1"/>
    <col min="20" max="20" width="8.85546875" style="631"/>
    <col min="21" max="21" width="8.85546875" style="631" bestFit="1" customWidth="1"/>
    <col min="22" max="16384" width="8.85546875" style="631"/>
  </cols>
  <sheetData>
    <row r="1" spans="1:31">
      <c r="A1" s="630"/>
      <c r="B1" s="630"/>
      <c r="C1" s="630"/>
      <c r="D1" s="630"/>
      <c r="E1" s="630"/>
      <c r="F1" s="630"/>
      <c r="G1" s="630"/>
      <c r="H1" s="630"/>
      <c r="I1" s="630"/>
      <c r="J1" s="630"/>
      <c r="L1" s="653"/>
    </row>
    <row r="2" spans="1:31">
      <c r="A2" s="632"/>
      <c r="B2" s="632"/>
      <c r="C2" s="632"/>
      <c r="D2" s="632"/>
      <c r="E2" s="632"/>
      <c r="F2" s="632"/>
      <c r="G2" s="632"/>
      <c r="H2" s="632"/>
      <c r="I2" s="632"/>
    </row>
    <row r="4" spans="1:31" ht="13.15" customHeight="1">
      <c r="A4" s="603">
        <v>1</v>
      </c>
      <c r="B4" s="603" t="s">
        <v>264</v>
      </c>
      <c r="C4" s="603"/>
      <c r="D4" s="603"/>
      <c r="E4" s="603"/>
      <c r="F4" s="603"/>
      <c r="G4" s="603"/>
      <c r="H4" s="603"/>
      <c r="I4" s="603"/>
      <c r="J4" s="615" t="s">
        <v>318</v>
      </c>
      <c r="K4" s="615"/>
      <c r="L4" s="615"/>
      <c r="M4" s="615"/>
      <c r="N4" s="615"/>
      <c r="O4" s="615"/>
      <c r="P4" s="615"/>
      <c r="Q4" s="615"/>
      <c r="R4" s="603"/>
      <c r="S4" s="604"/>
      <c r="T4" s="603"/>
      <c r="U4" s="603"/>
      <c r="V4" s="603"/>
      <c r="W4" s="603"/>
      <c r="X4" s="603"/>
      <c r="Y4" s="603"/>
      <c r="Z4" s="603"/>
      <c r="AA4" s="603"/>
      <c r="AB4" s="603"/>
      <c r="AC4" s="603"/>
      <c r="AD4" s="603"/>
      <c r="AE4" s="603"/>
    </row>
    <row r="5" spans="1:31">
      <c r="A5" s="603"/>
      <c r="B5" s="605" t="s">
        <v>357</v>
      </c>
      <c r="C5" s="605"/>
      <c r="D5" s="605">
        <v>2009</v>
      </c>
      <c r="E5" s="643">
        <v>2010</v>
      </c>
      <c r="F5" s="643">
        <v>2011</v>
      </c>
      <c r="G5" s="643">
        <v>2012</v>
      </c>
      <c r="H5" s="643">
        <v>2013</v>
      </c>
      <c r="I5" s="643">
        <v>2014</v>
      </c>
      <c r="J5" s="627">
        <v>2015</v>
      </c>
      <c r="K5" s="494" t="s">
        <v>303</v>
      </c>
      <c r="L5" s="494" t="s">
        <v>304</v>
      </c>
      <c r="M5" s="494" t="s">
        <v>305</v>
      </c>
      <c r="N5" s="494" t="s">
        <v>306</v>
      </c>
      <c r="O5" s="494" t="s">
        <v>307</v>
      </c>
      <c r="P5" s="494" t="s">
        <v>308</v>
      </c>
      <c r="Q5" s="494" t="s">
        <v>309</v>
      </c>
      <c r="R5" s="494" t="s">
        <v>340</v>
      </c>
      <c r="S5" s="494" t="s">
        <v>355</v>
      </c>
      <c r="T5" s="494" t="s">
        <v>356</v>
      </c>
      <c r="U5" s="494" t="s">
        <v>341</v>
      </c>
      <c r="V5" s="494" t="s">
        <v>342</v>
      </c>
      <c r="W5" s="494" t="s">
        <v>343</v>
      </c>
      <c r="X5" s="494" t="s">
        <v>344</v>
      </c>
      <c r="Y5" s="494" t="s">
        <v>345</v>
      </c>
      <c r="Z5" s="494" t="s">
        <v>346</v>
      </c>
      <c r="AA5" s="494" t="s">
        <v>347</v>
      </c>
      <c r="AB5" s="494" t="s">
        <v>348</v>
      </c>
      <c r="AC5" s="494" t="s">
        <v>349</v>
      </c>
      <c r="AD5" s="494" t="s">
        <v>350</v>
      </c>
      <c r="AE5" s="494" t="s">
        <v>353</v>
      </c>
    </row>
    <row r="6" spans="1:31" s="633" customFormat="1" ht="13.9" customHeight="1">
      <c r="A6" s="625" t="s">
        <v>16</v>
      </c>
      <c r="B6" s="626"/>
      <c r="C6" s="644"/>
      <c r="D6" s="645">
        <f>'DM_01_SR počet preprav. osôb'!J15</f>
        <v>389263000</v>
      </c>
      <c r="E6" s="646">
        <f>'DM_01_SR počet preprav. osôb'!K15</f>
        <v>385594000</v>
      </c>
      <c r="F6" s="646">
        <f>'DM_01_SR počet preprav. osôb'!L15</f>
        <v>417293000</v>
      </c>
      <c r="G6" s="646">
        <f>'DM_01_SR počet preprav. osôb'!M15</f>
        <v>388239000</v>
      </c>
      <c r="H6" s="646">
        <f>'DM_01_SR počet preprav. osôb'!N15</f>
        <v>369323000</v>
      </c>
      <c r="I6" s="646">
        <f>'DM_01_SR počet preprav. osôb'!O15</f>
        <v>380576000</v>
      </c>
      <c r="J6" s="647">
        <f>'DM_01_SR počet preprav. osôb'!P15</f>
        <v>379468000</v>
      </c>
      <c r="K6" s="648">
        <f>'DM_01_SR počet preprav. osôb'!Q15</f>
        <v>377345000</v>
      </c>
      <c r="L6" s="648">
        <f>'DM_01_SR počet preprav. osôb'!R15</f>
        <v>373101000</v>
      </c>
      <c r="M6" s="648">
        <f>'DM_01_SR počet preprav. osôb'!S15</f>
        <v>374849000</v>
      </c>
      <c r="N6" s="648">
        <f>'DM_01_SR počet preprav. osôb'!T15</f>
        <v>382662000</v>
      </c>
      <c r="O6" s="648">
        <f>'DM_01_SR počet preprav. osôb'!U15</f>
        <v>283913000</v>
      </c>
      <c r="P6" s="648">
        <f>'DM_01_SR počet preprav. osôb'!V15</f>
        <v>259459000</v>
      </c>
      <c r="Q6" s="648">
        <f>'DM_01_SR počet preprav. osôb'!W15</f>
        <v>373186000</v>
      </c>
      <c r="R6" s="649">
        <f>(AVERAGE(R55,R62,R68,R69,R70)*Q6)+Q6</f>
        <v>407368851.83643985</v>
      </c>
      <c r="S6" s="615" t="e">
        <v>#DIV/0!</v>
      </c>
      <c r="T6" s="615" t="e">
        <v>#DIV/0!</v>
      </c>
      <c r="U6" s="650">
        <f>($C$76*R6)+R6</f>
        <v>406989165.69729435</v>
      </c>
      <c r="V6" s="650">
        <f t="shared" ref="V6:AD6" si="0">($C$76*U6)+U6</f>
        <v>406609833.44275147</v>
      </c>
      <c r="W6" s="650">
        <f t="shared" si="0"/>
        <v>406230854.74297482</v>
      </c>
      <c r="X6" s="650">
        <f t="shared" si="0"/>
        <v>405852229.26843542</v>
      </c>
      <c r="Y6" s="650">
        <f t="shared" si="0"/>
        <v>405473956.68991143</v>
      </c>
      <c r="Z6" s="650">
        <f t="shared" si="0"/>
        <v>405096036.67848784</v>
      </c>
      <c r="AA6" s="650">
        <f t="shared" si="0"/>
        <v>404718468.9055562</v>
      </c>
      <c r="AB6" s="650">
        <f t="shared" si="0"/>
        <v>404341253.04281437</v>
      </c>
      <c r="AC6" s="650">
        <f t="shared" si="0"/>
        <v>403964388.76226616</v>
      </c>
      <c r="AD6" s="650">
        <f t="shared" si="0"/>
        <v>403587875.73622113</v>
      </c>
      <c r="AE6" s="615"/>
    </row>
    <row r="7" spans="1:31">
      <c r="A7" s="494" t="s">
        <v>40</v>
      </c>
      <c r="B7" s="609"/>
      <c r="C7" s="651"/>
      <c r="D7" s="651"/>
      <c r="E7" s="651"/>
      <c r="F7" s="651"/>
      <c r="G7" s="651"/>
      <c r="H7" s="651"/>
      <c r="I7" s="651"/>
      <c r="J7" s="610"/>
      <c r="K7" s="610"/>
      <c r="L7" s="610"/>
      <c r="M7" s="610"/>
      <c r="N7" s="610"/>
      <c r="O7" s="610"/>
      <c r="P7" s="610"/>
      <c r="Q7" s="610"/>
      <c r="R7" s="611"/>
      <c r="S7" s="611" t="e">
        <f t="shared" ref="S7:S11" si="1">AVERAGE(L7:Q7)</f>
        <v>#DIV/0!</v>
      </c>
      <c r="T7" s="611" t="e">
        <f t="shared" ref="T7:T11" si="2">AVERAGE(L7:N7)</f>
        <v>#DIV/0!</v>
      </c>
      <c r="U7" s="611">
        <f>N7+(4*T30)</f>
        <v>0</v>
      </c>
      <c r="V7" s="611" t="e">
        <f t="shared" ref="V7:V24" si="3">U7+(U7*T54)</f>
        <v>#DIV/0!</v>
      </c>
      <c r="W7" s="611" t="e">
        <f t="shared" ref="W7:W24" si="4">V7+(V7*U54)</f>
        <v>#DIV/0!</v>
      </c>
      <c r="X7" s="611" t="e">
        <f t="shared" ref="X7:X24" si="5">W7+(W7*V54)</f>
        <v>#DIV/0!</v>
      </c>
      <c r="Y7" s="611" t="e">
        <f t="shared" ref="Y7:Y24" si="6">X7+(X7*W54)</f>
        <v>#DIV/0!</v>
      </c>
      <c r="Z7" s="611" t="e">
        <f t="shared" ref="Z7:Z24" si="7">Y7+(Y7*X54)</f>
        <v>#DIV/0!</v>
      </c>
      <c r="AA7" s="611" t="e">
        <f t="shared" ref="AA7:AA24" si="8">Z7+(Z7*Y54)</f>
        <v>#DIV/0!</v>
      </c>
      <c r="AB7" s="611" t="e">
        <f t="shared" ref="AB7:AB24" si="9">AA7+(AA7*Z54)</f>
        <v>#DIV/0!</v>
      </c>
      <c r="AC7" s="611" t="e">
        <f t="shared" ref="AC7:AC24" si="10">AB7+(AB7*AA54)</f>
        <v>#DIV/0!</v>
      </c>
      <c r="AD7" s="611" t="e">
        <f t="shared" ref="AD7:AD24" si="11">AC7+(AC7*AB54)</f>
        <v>#DIV/0!</v>
      </c>
      <c r="AE7" s="611"/>
    </row>
    <row r="8" spans="1:31">
      <c r="A8" s="494" t="s">
        <v>59</v>
      </c>
      <c r="B8" s="612"/>
      <c r="C8" s="652"/>
      <c r="D8" s="652"/>
      <c r="E8" s="652"/>
      <c r="F8" s="652"/>
      <c r="G8" s="652"/>
      <c r="H8" s="652"/>
      <c r="I8" s="652"/>
      <c r="J8" s="610"/>
      <c r="K8" s="610"/>
      <c r="L8" s="613">
        <v>1300000</v>
      </c>
      <c r="M8" s="613">
        <v>1279000</v>
      </c>
      <c r="N8" s="613">
        <v>1287000</v>
      </c>
      <c r="O8" s="613">
        <v>905000</v>
      </c>
      <c r="P8" s="613">
        <v>864000</v>
      </c>
      <c r="Q8" s="613">
        <v>1083000.71</v>
      </c>
      <c r="R8" s="613">
        <v>1106091</v>
      </c>
      <c r="S8" s="611">
        <f t="shared" si="1"/>
        <v>1119666.7849999999</v>
      </c>
      <c r="T8" s="611">
        <f t="shared" si="2"/>
        <v>1288666.6666666667</v>
      </c>
      <c r="U8" s="611">
        <f>R8+R8*0.01</f>
        <v>1117151.9099999999</v>
      </c>
      <c r="V8" s="611">
        <f t="shared" si="3"/>
        <v>1111622.5892305616</v>
      </c>
      <c r="W8" s="611">
        <f t="shared" si="4"/>
        <v>1122738.8151228672</v>
      </c>
      <c r="X8" s="611">
        <f t="shared" si="5"/>
        <v>1117181.8420795922</v>
      </c>
      <c r="Y8" s="611">
        <f t="shared" si="6"/>
        <v>1111652.3731619318</v>
      </c>
      <c r="Z8" s="611">
        <f t="shared" si="7"/>
        <v>1106150.2722387731</v>
      </c>
      <c r="AA8" s="611">
        <f t="shared" si="8"/>
        <v>1100675.403852781</v>
      </c>
      <c r="AB8" s="611">
        <f t="shared" si="9"/>
        <v>1095227.6332170642</v>
      </c>
      <c r="AC8" s="611">
        <f t="shared" si="10"/>
        <v>1089806.826211856</v>
      </c>
      <c r="AD8" s="611">
        <f t="shared" si="11"/>
        <v>1084412.8493812128</v>
      </c>
      <c r="AE8" s="611"/>
    </row>
    <row r="9" spans="1:31">
      <c r="A9" s="494" t="s">
        <v>43</v>
      </c>
      <c r="B9" s="612"/>
      <c r="C9" s="652"/>
      <c r="D9" s="652"/>
      <c r="E9" s="652"/>
      <c r="F9" s="652"/>
      <c r="G9" s="652"/>
      <c r="H9" s="652"/>
      <c r="I9" s="652"/>
      <c r="J9" s="610"/>
      <c r="K9" s="610"/>
      <c r="L9" s="610"/>
      <c r="M9" s="610"/>
      <c r="N9" s="610"/>
      <c r="O9" s="610"/>
      <c r="P9" s="610"/>
      <c r="Q9" s="610"/>
      <c r="R9" s="611"/>
      <c r="S9" s="611" t="e">
        <f t="shared" si="1"/>
        <v>#DIV/0!</v>
      </c>
      <c r="T9" s="611" t="e">
        <f t="shared" si="2"/>
        <v>#DIV/0!</v>
      </c>
      <c r="U9" s="611">
        <f t="shared" ref="U9:U24" si="12">N9+(4*T32)</f>
        <v>0</v>
      </c>
      <c r="V9" s="611" t="e">
        <f t="shared" si="3"/>
        <v>#DIV/0!</v>
      </c>
      <c r="W9" s="611" t="e">
        <f t="shared" si="4"/>
        <v>#DIV/0!</v>
      </c>
      <c r="X9" s="611" t="e">
        <f t="shared" si="5"/>
        <v>#DIV/0!</v>
      </c>
      <c r="Y9" s="611" t="e">
        <f t="shared" si="6"/>
        <v>#DIV/0!</v>
      </c>
      <c r="Z9" s="611" t="e">
        <f t="shared" si="7"/>
        <v>#DIV/0!</v>
      </c>
      <c r="AA9" s="611" t="e">
        <f t="shared" si="8"/>
        <v>#DIV/0!</v>
      </c>
      <c r="AB9" s="611" t="e">
        <f t="shared" si="9"/>
        <v>#DIV/0!</v>
      </c>
      <c r="AC9" s="611" t="e">
        <f t="shared" si="10"/>
        <v>#DIV/0!</v>
      </c>
      <c r="AD9" s="611" t="e">
        <f t="shared" si="11"/>
        <v>#DIV/0!</v>
      </c>
      <c r="AE9" s="611"/>
    </row>
    <row r="10" spans="1:31">
      <c r="A10" s="494" t="s">
        <v>44</v>
      </c>
      <c r="B10" s="612"/>
      <c r="C10" s="652"/>
      <c r="D10" s="652"/>
      <c r="E10" s="652"/>
      <c r="F10" s="652"/>
      <c r="G10" s="652"/>
      <c r="H10" s="652"/>
      <c r="I10" s="652"/>
      <c r="J10" s="610"/>
      <c r="K10" s="610"/>
      <c r="L10" s="610"/>
      <c r="M10" s="610"/>
      <c r="N10" s="610"/>
      <c r="O10" s="610"/>
      <c r="P10" s="610"/>
      <c r="Q10" s="610"/>
      <c r="R10" s="611"/>
      <c r="S10" s="611" t="e">
        <f t="shared" si="1"/>
        <v>#DIV/0!</v>
      </c>
      <c r="T10" s="611" t="e">
        <f t="shared" si="2"/>
        <v>#DIV/0!</v>
      </c>
      <c r="U10" s="611">
        <f t="shared" si="12"/>
        <v>0</v>
      </c>
      <c r="V10" s="611" t="e">
        <f t="shared" si="3"/>
        <v>#DIV/0!</v>
      </c>
      <c r="W10" s="611" t="e">
        <f t="shared" si="4"/>
        <v>#DIV/0!</v>
      </c>
      <c r="X10" s="611" t="e">
        <f t="shared" si="5"/>
        <v>#DIV/0!</v>
      </c>
      <c r="Y10" s="611" t="e">
        <f t="shared" si="6"/>
        <v>#DIV/0!</v>
      </c>
      <c r="Z10" s="611" t="e">
        <f t="shared" si="7"/>
        <v>#DIV/0!</v>
      </c>
      <c r="AA10" s="611" t="e">
        <f t="shared" si="8"/>
        <v>#DIV/0!</v>
      </c>
      <c r="AB10" s="611" t="e">
        <f t="shared" si="9"/>
        <v>#DIV/0!</v>
      </c>
      <c r="AC10" s="611" t="e">
        <f t="shared" si="10"/>
        <v>#DIV/0!</v>
      </c>
      <c r="AD10" s="611" t="e">
        <f t="shared" si="11"/>
        <v>#DIV/0!</v>
      </c>
      <c r="AE10" s="611"/>
    </row>
    <row r="11" spans="1:31">
      <c r="A11" s="494" t="s">
        <v>57</v>
      </c>
      <c r="B11" s="612"/>
      <c r="C11" s="652"/>
      <c r="D11" s="652"/>
      <c r="E11" s="652"/>
      <c r="F11" s="652"/>
      <c r="G11" s="652"/>
      <c r="H11" s="652"/>
      <c r="I11" s="652"/>
      <c r="J11" s="610"/>
      <c r="K11" s="610"/>
      <c r="L11" s="610"/>
      <c r="M11" s="610"/>
      <c r="N11" s="610"/>
      <c r="O11" s="610"/>
      <c r="P11" s="610"/>
      <c r="Q11" s="610"/>
      <c r="R11" s="611"/>
      <c r="S11" s="611" t="e">
        <f t="shared" si="1"/>
        <v>#DIV/0!</v>
      </c>
      <c r="T11" s="611" t="e">
        <f t="shared" si="2"/>
        <v>#DIV/0!</v>
      </c>
      <c r="U11" s="611">
        <f t="shared" si="12"/>
        <v>0</v>
      </c>
      <c r="V11" s="611" t="e">
        <f t="shared" si="3"/>
        <v>#DIV/0!</v>
      </c>
      <c r="W11" s="611" t="e">
        <f t="shared" si="4"/>
        <v>#DIV/0!</v>
      </c>
      <c r="X11" s="611" t="e">
        <f t="shared" si="5"/>
        <v>#DIV/0!</v>
      </c>
      <c r="Y11" s="611" t="e">
        <f t="shared" si="6"/>
        <v>#DIV/0!</v>
      </c>
      <c r="Z11" s="611" t="e">
        <f t="shared" si="7"/>
        <v>#DIV/0!</v>
      </c>
      <c r="AA11" s="611" t="e">
        <f t="shared" si="8"/>
        <v>#DIV/0!</v>
      </c>
      <c r="AB11" s="611" t="e">
        <f t="shared" si="9"/>
        <v>#DIV/0!</v>
      </c>
      <c r="AC11" s="611" t="e">
        <f t="shared" si="10"/>
        <v>#DIV/0!</v>
      </c>
      <c r="AD11" s="611" t="e">
        <f t="shared" si="11"/>
        <v>#DIV/0!</v>
      </c>
      <c r="AE11" s="611"/>
    </row>
    <row r="12" spans="1:31">
      <c r="A12" s="494" t="s">
        <v>55</v>
      </c>
      <c r="B12" s="612"/>
      <c r="C12" s="652"/>
      <c r="D12" s="652"/>
      <c r="E12" s="652"/>
      <c r="F12" s="652"/>
      <c r="G12" s="652"/>
      <c r="H12" s="652"/>
      <c r="I12" s="652"/>
      <c r="J12" s="610"/>
      <c r="K12" s="610"/>
      <c r="L12" s="610"/>
      <c r="M12" s="610"/>
      <c r="N12" s="610"/>
      <c r="O12" s="610"/>
      <c r="P12" s="610"/>
      <c r="Q12" s="611"/>
      <c r="R12" s="613">
        <v>5054011</v>
      </c>
      <c r="S12" s="611" t="e">
        <f t="shared" ref="S12:S24" si="13">AVERAGE(L12:Q12)</f>
        <v>#DIV/0!</v>
      </c>
      <c r="T12" s="611" t="e">
        <f t="shared" ref="T12:T24" si="14">AVERAGE(L12:N12)</f>
        <v>#DIV/0!</v>
      </c>
      <c r="U12" s="611">
        <f t="shared" si="12"/>
        <v>0</v>
      </c>
      <c r="V12" s="611" t="e">
        <f t="shared" si="3"/>
        <v>#DIV/0!</v>
      </c>
      <c r="W12" s="611" t="e">
        <f t="shared" si="4"/>
        <v>#DIV/0!</v>
      </c>
      <c r="X12" s="611" t="e">
        <f t="shared" si="5"/>
        <v>#DIV/0!</v>
      </c>
      <c r="Y12" s="611" t="e">
        <f t="shared" si="6"/>
        <v>#DIV/0!</v>
      </c>
      <c r="Z12" s="611" t="e">
        <f t="shared" si="7"/>
        <v>#DIV/0!</v>
      </c>
      <c r="AA12" s="611" t="e">
        <f t="shared" si="8"/>
        <v>#DIV/0!</v>
      </c>
      <c r="AB12" s="611" t="e">
        <f t="shared" si="9"/>
        <v>#DIV/0!</v>
      </c>
      <c r="AC12" s="611" t="e">
        <f t="shared" si="10"/>
        <v>#DIV/0!</v>
      </c>
      <c r="AD12" s="611" t="e">
        <f t="shared" si="11"/>
        <v>#DIV/0!</v>
      </c>
      <c r="AE12" s="611"/>
    </row>
    <row r="13" spans="1:31">
      <c r="A13" s="494" t="s">
        <v>45</v>
      </c>
      <c r="B13" s="612"/>
      <c r="C13" s="652"/>
      <c r="D13" s="652"/>
      <c r="E13" s="652"/>
      <c r="F13" s="652"/>
      <c r="G13" s="652"/>
      <c r="H13" s="652"/>
      <c r="I13" s="652"/>
      <c r="J13" s="610"/>
      <c r="K13" s="610"/>
      <c r="L13" s="610"/>
      <c r="M13" s="610"/>
      <c r="N13" s="610"/>
      <c r="O13" s="610"/>
      <c r="P13" s="610"/>
      <c r="Q13" s="613">
        <v>25008961</v>
      </c>
      <c r="R13" s="611"/>
      <c r="S13" s="611">
        <f t="shared" si="13"/>
        <v>25008961</v>
      </c>
      <c r="T13" s="611" t="e">
        <f t="shared" si="14"/>
        <v>#DIV/0!</v>
      </c>
      <c r="U13" s="611">
        <f t="shared" si="12"/>
        <v>0</v>
      </c>
      <c r="V13" s="611" t="e">
        <f t="shared" si="3"/>
        <v>#DIV/0!</v>
      </c>
      <c r="W13" s="611" t="e">
        <f t="shared" si="4"/>
        <v>#DIV/0!</v>
      </c>
      <c r="X13" s="611" t="e">
        <f t="shared" si="5"/>
        <v>#DIV/0!</v>
      </c>
      <c r="Y13" s="611" t="e">
        <f t="shared" si="6"/>
        <v>#DIV/0!</v>
      </c>
      <c r="Z13" s="611" t="e">
        <f t="shared" si="7"/>
        <v>#DIV/0!</v>
      </c>
      <c r="AA13" s="611" t="e">
        <f t="shared" si="8"/>
        <v>#DIV/0!</v>
      </c>
      <c r="AB13" s="611" t="e">
        <f t="shared" si="9"/>
        <v>#DIV/0!</v>
      </c>
      <c r="AC13" s="611" t="e">
        <f t="shared" si="10"/>
        <v>#DIV/0!</v>
      </c>
      <c r="AD13" s="611" t="e">
        <f t="shared" si="11"/>
        <v>#DIV/0!</v>
      </c>
      <c r="AE13" s="611"/>
    </row>
    <row r="14" spans="1:31" outlineLevel="1">
      <c r="A14" s="494" t="s">
        <v>48</v>
      </c>
      <c r="B14" s="612"/>
      <c r="C14" s="612"/>
      <c r="D14" s="612"/>
      <c r="E14" s="612"/>
      <c r="F14" s="652"/>
      <c r="G14" s="652"/>
      <c r="H14" s="652"/>
      <c r="I14" s="652"/>
      <c r="J14" s="610"/>
      <c r="K14" s="610"/>
      <c r="L14" s="610"/>
      <c r="M14" s="610"/>
      <c r="N14" s="610"/>
      <c r="O14" s="610"/>
      <c r="P14" s="610"/>
      <c r="Q14" s="610"/>
      <c r="R14" s="611"/>
      <c r="S14" s="611" t="e">
        <f t="shared" si="13"/>
        <v>#DIV/0!</v>
      </c>
      <c r="T14" s="611" t="e">
        <f t="shared" si="14"/>
        <v>#DIV/0!</v>
      </c>
      <c r="U14" s="611">
        <f t="shared" si="12"/>
        <v>0</v>
      </c>
      <c r="V14" s="611" t="e">
        <f t="shared" si="3"/>
        <v>#DIV/0!</v>
      </c>
      <c r="W14" s="611" t="e">
        <f t="shared" si="4"/>
        <v>#DIV/0!</v>
      </c>
      <c r="X14" s="611" t="e">
        <f t="shared" si="5"/>
        <v>#DIV/0!</v>
      </c>
      <c r="Y14" s="611" t="e">
        <f t="shared" si="6"/>
        <v>#DIV/0!</v>
      </c>
      <c r="Z14" s="611" t="e">
        <f t="shared" si="7"/>
        <v>#DIV/0!</v>
      </c>
      <c r="AA14" s="611" t="e">
        <f t="shared" si="8"/>
        <v>#DIV/0!</v>
      </c>
      <c r="AB14" s="611" t="e">
        <f t="shared" si="9"/>
        <v>#DIV/0!</v>
      </c>
      <c r="AC14" s="611" t="e">
        <f t="shared" si="10"/>
        <v>#DIV/0!</v>
      </c>
      <c r="AD14" s="611" t="e">
        <f t="shared" si="11"/>
        <v>#DIV/0!</v>
      </c>
      <c r="AE14" s="603"/>
    </row>
    <row r="15" spans="1:31" outlineLevel="1">
      <c r="A15" s="494" t="s">
        <v>50</v>
      </c>
      <c r="B15" s="612"/>
      <c r="C15" s="612"/>
      <c r="D15" s="612"/>
      <c r="E15" s="612"/>
      <c r="F15" s="652"/>
      <c r="G15" s="652"/>
      <c r="H15" s="652"/>
      <c r="I15" s="652"/>
      <c r="J15" s="610"/>
      <c r="K15" s="610"/>
      <c r="L15" s="610"/>
      <c r="M15" s="610"/>
      <c r="N15" s="610"/>
      <c r="O15" s="610"/>
      <c r="P15" s="610"/>
      <c r="Q15" s="613">
        <v>33030</v>
      </c>
      <c r="R15" s="613">
        <v>39078</v>
      </c>
      <c r="S15" s="611">
        <f t="shared" si="13"/>
        <v>33030</v>
      </c>
      <c r="T15" s="611" t="e">
        <f t="shared" si="14"/>
        <v>#DIV/0!</v>
      </c>
      <c r="U15" s="611">
        <f t="shared" si="12"/>
        <v>0</v>
      </c>
      <c r="V15" s="611" t="e">
        <f t="shared" si="3"/>
        <v>#DIV/0!</v>
      </c>
      <c r="W15" s="611" t="e">
        <f t="shared" si="4"/>
        <v>#DIV/0!</v>
      </c>
      <c r="X15" s="611" t="e">
        <f t="shared" si="5"/>
        <v>#DIV/0!</v>
      </c>
      <c r="Y15" s="611" t="e">
        <f t="shared" si="6"/>
        <v>#DIV/0!</v>
      </c>
      <c r="Z15" s="611" t="e">
        <f t="shared" si="7"/>
        <v>#DIV/0!</v>
      </c>
      <c r="AA15" s="611" t="e">
        <f t="shared" si="8"/>
        <v>#DIV/0!</v>
      </c>
      <c r="AB15" s="611" t="e">
        <f t="shared" si="9"/>
        <v>#DIV/0!</v>
      </c>
      <c r="AC15" s="611" t="e">
        <f t="shared" si="10"/>
        <v>#DIV/0!</v>
      </c>
      <c r="AD15" s="611" t="e">
        <f t="shared" si="11"/>
        <v>#DIV/0!</v>
      </c>
      <c r="AE15" s="603"/>
    </row>
    <row r="16" spans="1:31" outlineLevel="1">
      <c r="A16" s="494" t="s">
        <v>47</v>
      </c>
      <c r="B16" s="612"/>
      <c r="C16" s="612"/>
      <c r="D16" s="612"/>
      <c r="E16" s="612"/>
      <c r="F16" s="652"/>
      <c r="G16" s="652"/>
      <c r="H16" s="652"/>
      <c r="I16" s="652"/>
      <c r="J16" s="610"/>
      <c r="K16" s="610"/>
      <c r="L16" s="610"/>
      <c r="M16" s="610"/>
      <c r="N16" s="610"/>
      <c r="O16" s="610"/>
      <c r="P16" s="610"/>
      <c r="Q16" s="610"/>
      <c r="R16" s="611"/>
      <c r="S16" s="611" t="e">
        <f t="shared" si="13"/>
        <v>#DIV/0!</v>
      </c>
      <c r="T16" s="611" t="e">
        <f t="shared" si="14"/>
        <v>#DIV/0!</v>
      </c>
      <c r="U16" s="611">
        <f t="shared" si="12"/>
        <v>0</v>
      </c>
      <c r="V16" s="611" t="e">
        <f t="shared" si="3"/>
        <v>#DIV/0!</v>
      </c>
      <c r="W16" s="611" t="e">
        <f t="shared" si="4"/>
        <v>#DIV/0!</v>
      </c>
      <c r="X16" s="611" t="e">
        <f t="shared" si="5"/>
        <v>#DIV/0!</v>
      </c>
      <c r="Y16" s="611" t="e">
        <f t="shared" si="6"/>
        <v>#DIV/0!</v>
      </c>
      <c r="Z16" s="611" t="e">
        <f t="shared" si="7"/>
        <v>#DIV/0!</v>
      </c>
      <c r="AA16" s="611" t="e">
        <f t="shared" si="8"/>
        <v>#DIV/0!</v>
      </c>
      <c r="AB16" s="611" t="e">
        <f t="shared" si="9"/>
        <v>#DIV/0!</v>
      </c>
      <c r="AC16" s="611" t="e">
        <f t="shared" si="10"/>
        <v>#DIV/0!</v>
      </c>
      <c r="AD16" s="611" t="e">
        <f t="shared" si="11"/>
        <v>#DIV/0!</v>
      </c>
      <c r="AE16" s="603"/>
    </row>
    <row r="17" spans="1:31" outlineLevel="1">
      <c r="A17" s="494" t="s">
        <v>52</v>
      </c>
      <c r="B17" s="612"/>
      <c r="C17" s="612"/>
      <c r="D17" s="612"/>
      <c r="E17" s="612"/>
      <c r="F17" s="652"/>
      <c r="G17" s="652"/>
      <c r="H17" s="652"/>
      <c r="I17" s="652"/>
      <c r="J17" s="610"/>
      <c r="K17" s="610"/>
      <c r="L17" s="613">
        <v>3175519</v>
      </c>
      <c r="M17" s="613">
        <v>3071788</v>
      </c>
      <c r="N17" s="613">
        <v>3044788</v>
      </c>
      <c r="O17" s="613">
        <v>1971842</v>
      </c>
      <c r="P17" s="613">
        <v>1888222</v>
      </c>
      <c r="Q17" s="613">
        <v>2368612</v>
      </c>
      <c r="R17" s="611"/>
      <c r="S17" s="611">
        <f t="shared" si="13"/>
        <v>2586795.1666666665</v>
      </c>
      <c r="T17" s="611">
        <f t="shared" si="14"/>
        <v>3097365</v>
      </c>
      <c r="U17" s="611">
        <f t="shared" si="12"/>
        <v>2783326</v>
      </c>
      <c r="V17" s="611">
        <f t="shared" si="3"/>
        <v>2725633.8999279584</v>
      </c>
      <c r="W17" s="611" t="e">
        <f t="shared" si="4"/>
        <v>#DIV/0!</v>
      </c>
      <c r="X17" s="611" t="e">
        <f t="shared" si="5"/>
        <v>#DIV/0!</v>
      </c>
      <c r="Y17" s="611" t="e">
        <f t="shared" si="6"/>
        <v>#DIV/0!</v>
      </c>
      <c r="Z17" s="611" t="e">
        <f t="shared" si="7"/>
        <v>#DIV/0!</v>
      </c>
      <c r="AA17" s="611" t="e">
        <f t="shared" si="8"/>
        <v>#DIV/0!</v>
      </c>
      <c r="AB17" s="611" t="e">
        <f t="shared" si="9"/>
        <v>#DIV/0!</v>
      </c>
      <c r="AC17" s="611" t="e">
        <f t="shared" si="10"/>
        <v>#DIV/0!</v>
      </c>
      <c r="AD17" s="611" t="e">
        <f t="shared" si="11"/>
        <v>#DIV/0!</v>
      </c>
      <c r="AE17" s="603"/>
    </row>
    <row r="18" spans="1:31" outlineLevel="1">
      <c r="A18" s="494" t="s">
        <v>60</v>
      </c>
      <c r="B18" s="612"/>
      <c r="C18" s="612"/>
      <c r="D18" s="612"/>
      <c r="E18" s="612"/>
      <c r="F18" s="652"/>
      <c r="G18" s="652"/>
      <c r="H18" s="652"/>
      <c r="I18" s="652"/>
      <c r="J18" s="610"/>
      <c r="K18" s="610"/>
      <c r="L18" s="610"/>
      <c r="M18" s="610"/>
      <c r="N18" s="610"/>
      <c r="O18" s="610"/>
      <c r="P18" s="610"/>
      <c r="Q18" s="610"/>
      <c r="R18" s="611"/>
      <c r="S18" s="611" t="e">
        <f t="shared" si="13"/>
        <v>#DIV/0!</v>
      </c>
      <c r="T18" s="611" t="e">
        <f t="shared" si="14"/>
        <v>#DIV/0!</v>
      </c>
      <c r="U18" s="611">
        <f t="shared" si="12"/>
        <v>0</v>
      </c>
      <c r="V18" s="611" t="e">
        <f t="shared" si="3"/>
        <v>#DIV/0!</v>
      </c>
      <c r="W18" s="611" t="e">
        <f t="shared" si="4"/>
        <v>#DIV/0!</v>
      </c>
      <c r="X18" s="611" t="e">
        <f t="shared" si="5"/>
        <v>#DIV/0!</v>
      </c>
      <c r="Y18" s="611" t="e">
        <f t="shared" si="6"/>
        <v>#DIV/0!</v>
      </c>
      <c r="Z18" s="611" t="e">
        <f t="shared" si="7"/>
        <v>#DIV/0!</v>
      </c>
      <c r="AA18" s="611" t="e">
        <f t="shared" si="8"/>
        <v>#DIV/0!</v>
      </c>
      <c r="AB18" s="611" t="e">
        <f t="shared" si="9"/>
        <v>#DIV/0!</v>
      </c>
      <c r="AC18" s="611" t="e">
        <f t="shared" si="10"/>
        <v>#DIV/0!</v>
      </c>
      <c r="AD18" s="611" t="e">
        <f t="shared" si="11"/>
        <v>#DIV/0!</v>
      </c>
      <c r="AE18" s="603"/>
    </row>
    <row r="19" spans="1:31" outlineLevel="1">
      <c r="A19" s="494" t="s">
        <v>58</v>
      </c>
      <c r="B19" s="612"/>
      <c r="C19" s="612"/>
      <c r="D19" s="612"/>
      <c r="E19" s="612"/>
      <c r="F19" s="652"/>
      <c r="G19" s="652"/>
      <c r="H19" s="652"/>
      <c r="I19" s="652"/>
      <c r="J19" s="610"/>
      <c r="K19" s="610"/>
      <c r="L19" s="613">
        <v>2026337</v>
      </c>
      <c r="M19" s="613">
        <v>1999124</v>
      </c>
      <c r="N19" s="613">
        <v>2001615</v>
      </c>
      <c r="O19" s="613">
        <v>1217571</v>
      </c>
      <c r="P19" s="613">
        <v>1077876</v>
      </c>
      <c r="Q19" s="613">
        <v>1421361</v>
      </c>
      <c r="R19" s="611"/>
      <c r="S19" s="611">
        <f t="shared" si="13"/>
        <v>1623980.6666666667</v>
      </c>
      <c r="T19" s="611">
        <f t="shared" si="14"/>
        <v>2009025.3333333333</v>
      </c>
      <c r="U19" s="611">
        <f t="shared" si="12"/>
        <v>1952171</v>
      </c>
      <c r="V19" s="611">
        <f t="shared" si="3"/>
        <v>1940278.7589780136</v>
      </c>
      <c r="W19" s="611" t="e">
        <f t="shared" si="4"/>
        <v>#DIV/0!</v>
      </c>
      <c r="X19" s="611" t="e">
        <f t="shared" si="5"/>
        <v>#DIV/0!</v>
      </c>
      <c r="Y19" s="611" t="e">
        <f t="shared" si="6"/>
        <v>#DIV/0!</v>
      </c>
      <c r="Z19" s="611" t="e">
        <f t="shared" si="7"/>
        <v>#DIV/0!</v>
      </c>
      <c r="AA19" s="611" t="e">
        <f t="shared" si="8"/>
        <v>#DIV/0!</v>
      </c>
      <c r="AB19" s="611" t="e">
        <f t="shared" si="9"/>
        <v>#DIV/0!</v>
      </c>
      <c r="AC19" s="611" t="e">
        <f t="shared" si="10"/>
        <v>#DIV/0!</v>
      </c>
      <c r="AD19" s="611" t="e">
        <f t="shared" si="11"/>
        <v>#DIV/0!</v>
      </c>
      <c r="AE19" s="603"/>
    </row>
    <row r="20" spans="1:31" outlineLevel="1">
      <c r="A20" s="494" t="s">
        <v>49</v>
      </c>
      <c r="B20" s="612"/>
      <c r="C20" s="612"/>
      <c r="D20" s="612"/>
      <c r="E20" s="612"/>
      <c r="F20" s="652"/>
      <c r="G20" s="652"/>
      <c r="H20" s="652"/>
      <c r="I20" s="652"/>
      <c r="J20" s="610"/>
      <c r="K20" s="610"/>
      <c r="L20" s="610"/>
      <c r="M20" s="610"/>
      <c r="N20" s="610"/>
      <c r="O20" s="610"/>
      <c r="P20" s="610"/>
      <c r="Q20" s="610"/>
      <c r="R20" s="611"/>
      <c r="S20" s="611" t="e">
        <f t="shared" si="13"/>
        <v>#DIV/0!</v>
      </c>
      <c r="T20" s="611" t="e">
        <f t="shared" si="14"/>
        <v>#DIV/0!</v>
      </c>
      <c r="U20" s="611">
        <f t="shared" si="12"/>
        <v>0</v>
      </c>
      <c r="V20" s="611" t="e">
        <f t="shared" si="3"/>
        <v>#DIV/0!</v>
      </c>
      <c r="W20" s="611" t="e">
        <f t="shared" si="4"/>
        <v>#DIV/0!</v>
      </c>
      <c r="X20" s="611" t="e">
        <f t="shared" si="5"/>
        <v>#DIV/0!</v>
      </c>
      <c r="Y20" s="611" t="e">
        <f t="shared" si="6"/>
        <v>#DIV/0!</v>
      </c>
      <c r="Z20" s="611" t="e">
        <f t="shared" si="7"/>
        <v>#DIV/0!</v>
      </c>
      <c r="AA20" s="611" t="e">
        <f t="shared" si="8"/>
        <v>#DIV/0!</v>
      </c>
      <c r="AB20" s="611" t="e">
        <f t="shared" si="9"/>
        <v>#DIV/0!</v>
      </c>
      <c r="AC20" s="611" t="e">
        <f t="shared" si="10"/>
        <v>#DIV/0!</v>
      </c>
      <c r="AD20" s="611" t="e">
        <f t="shared" si="11"/>
        <v>#DIV/0!</v>
      </c>
      <c r="AE20" s="603"/>
    </row>
    <row r="21" spans="1:31" outlineLevel="1">
      <c r="A21" s="494" t="s">
        <v>53</v>
      </c>
      <c r="B21" s="612"/>
      <c r="C21" s="612"/>
      <c r="D21" s="612"/>
      <c r="E21" s="612"/>
      <c r="F21" s="652"/>
      <c r="G21" s="652"/>
      <c r="H21" s="652"/>
      <c r="I21" s="652"/>
      <c r="J21" s="610"/>
      <c r="K21" s="610"/>
      <c r="L21" s="610"/>
      <c r="M21" s="610"/>
      <c r="N21" s="613">
        <v>3243591</v>
      </c>
      <c r="O21" s="613">
        <v>2006924</v>
      </c>
      <c r="P21" s="613">
        <v>1884899</v>
      </c>
      <c r="Q21" s="613">
        <v>2525358</v>
      </c>
      <c r="R21" s="613">
        <v>3008208</v>
      </c>
      <c r="S21" s="611">
        <f t="shared" si="13"/>
        <v>2415193</v>
      </c>
      <c r="T21" s="611">
        <f t="shared" si="14"/>
        <v>3243591</v>
      </c>
      <c r="U21" s="611">
        <f t="shared" si="12"/>
        <v>9730773</v>
      </c>
      <c r="V21" s="611" t="e">
        <f t="shared" si="3"/>
        <v>#DIV/0!</v>
      </c>
      <c r="W21" s="611" t="e">
        <f t="shared" si="4"/>
        <v>#DIV/0!</v>
      </c>
      <c r="X21" s="611" t="e">
        <f t="shared" si="5"/>
        <v>#DIV/0!</v>
      </c>
      <c r="Y21" s="611" t="e">
        <f t="shared" si="6"/>
        <v>#DIV/0!</v>
      </c>
      <c r="Z21" s="611" t="e">
        <f t="shared" si="7"/>
        <v>#DIV/0!</v>
      </c>
      <c r="AA21" s="611" t="e">
        <f t="shared" si="8"/>
        <v>#DIV/0!</v>
      </c>
      <c r="AB21" s="611" t="e">
        <f t="shared" si="9"/>
        <v>#DIV/0!</v>
      </c>
      <c r="AC21" s="611" t="e">
        <f t="shared" si="10"/>
        <v>#DIV/0!</v>
      </c>
      <c r="AD21" s="611" t="e">
        <f t="shared" si="11"/>
        <v>#DIV/0!</v>
      </c>
      <c r="AE21" s="603"/>
    </row>
    <row r="22" spans="1:31" outlineLevel="1">
      <c r="A22" s="494" t="s">
        <v>42</v>
      </c>
      <c r="B22" s="612"/>
      <c r="C22" s="612"/>
      <c r="D22" s="612"/>
      <c r="E22" s="612"/>
      <c r="F22" s="652"/>
      <c r="G22" s="652"/>
      <c r="H22" s="652"/>
      <c r="I22" s="652"/>
      <c r="J22" s="610"/>
      <c r="K22" s="610"/>
      <c r="L22" s="610"/>
      <c r="M22" s="613">
        <v>2737000</v>
      </c>
      <c r="N22" s="613">
        <v>3879000</v>
      </c>
      <c r="O22" s="613">
        <v>1823000</v>
      </c>
      <c r="P22" s="613">
        <v>1669000</v>
      </c>
      <c r="Q22" s="613">
        <v>2473714</v>
      </c>
      <c r="R22" s="614">
        <v>2329280</v>
      </c>
      <c r="S22" s="611">
        <f t="shared" si="13"/>
        <v>2516342.7999999998</v>
      </c>
      <c r="T22" s="611">
        <f t="shared" si="14"/>
        <v>3308000</v>
      </c>
      <c r="U22" s="611">
        <f t="shared" si="12"/>
        <v>11637000</v>
      </c>
      <c r="V22" s="611" t="e">
        <f t="shared" si="3"/>
        <v>#DIV/0!</v>
      </c>
      <c r="W22" s="611" t="e">
        <f t="shared" si="4"/>
        <v>#DIV/0!</v>
      </c>
      <c r="X22" s="611" t="e">
        <f t="shared" si="5"/>
        <v>#DIV/0!</v>
      </c>
      <c r="Y22" s="611" t="e">
        <f t="shared" si="6"/>
        <v>#DIV/0!</v>
      </c>
      <c r="Z22" s="611" t="e">
        <f t="shared" si="7"/>
        <v>#DIV/0!</v>
      </c>
      <c r="AA22" s="611" t="e">
        <f t="shared" si="8"/>
        <v>#DIV/0!</v>
      </c>
      <c r="AB22" s="611" t="e">
        <f t="shared" si="9"/>
        <v>#DIV/0!</v>
      </c>
      <c r="AC22" s="611" t="e">
        <f t="shared" si="10"/>
        <v>#DIV/0!</v>
      </c>
      <c r="AD22" s="611" t="e">
        <f t="shared" si="11"/>
        <v>#DIV/0!</v>
      </c>
      <c r="AE22" s="603"/>
    </row>
    <row r="23" spans="1:31" outlineLevel="1">
      <c r="A23" s="494" t="s">
        <v>54</v>
      </c>
      <c r="B23" s="612"/>
      <c r="C23" s="612"/>
      <c r="D23" s="612"/>
      <c r="E23" s="612" t="s">
        <v>757</v>
      </c>
      <c r="F23" s="652"/>
      <c r="G23" s="652"/>
      <c r="H23" s="652"/>
      <c r="I23" s="652"/>
      <c r="J23" s="610"/>
      <c r="K23" s="610"/>
      <c r="L23" s="628">
        <v>11649717</v>
      </c>
      <c r="M23" s="628">
        <v>12052725</v>
      </c>
      <c r="N23" s="628">
        <v>12240740</v>
      </c>
      <c r="O23" s="628">
        <v>7785961</v>
      </c>
      <c r="P23" s="629">
        <v>16805807</v>
      </c>
      <c r="Q23" s="629">
        <v>21022303</v>
      </c>
      <c r="R23" s="613">
        <v>23560678</v>
      </c>
      <c r="S23" s="611">
        <f>AVERAGE(L23:R23)</f>
        <v>15016847.285714285</v>
      </c>
      <c r="T23" s="611">
        <f t="shared" si="14"/>
        <v>11981060.666666666</v>
      </c>
      <c r="U23" s="611">
        <f t="shared" si="12"/>
        <v>13422786</v>
      </c>
      <c r="V23" s="611">
        <f t="shared" si="3"/>
        <v>13759652.147672044</v>
      </c>
      <c r="W23" s="611">
        <f t="shared" si="4"/>
        <v>7839030.1931312103</v>
      </c>
      <c r="X23" s="611">
        <f t="shared" si="5"/>
        <v>8035763.1144967861</v>
      </c>
      <c r="Y23" s="611">
        <f t="shared" si="6"/>
        <v>8237433.3611941291</v>
      </c>
      <c r="Z23" s="611">
        <f t="shared" si="7"/>
        <v>8444164.8432493936</v>
      </c>
      <c r="AA23" s="611">
        <f t="shared" si="8"/>
        <v>8656084.5804077704</v>
      </c>
      <c r="AB23" s="611">
        <f t="shared" si="9"/>
        <v>8873322.7801768314</v>
      </c>
      <c r="AC23" s="611">
        <f t="shared" si="10"/>
        <v>9096012.917828491</v>
      </c>
      <c r="AD23" s="611">
        <f t="shared" si="11"/>
        <v>9324291.8184087463</v>
      </c>
      <c r="AE23" s="603"/>
    </row>
    <row r="24" spans="1:31" outlineLevel="1">
      <c r="A24" s="494" t="s">
        <v>438</v>
      </c>
      <c r="B24" s="612"/>
      <c r="C24" s="612"/>
      <c r="D24" s="612"/>
      <c r="E24" s="612"/>
      <c r="F24" s="612"/>
      <c r="G24" s="612"/>
      <c r="H24" s="612"/>
      <c r="I24" s="612"/>
      <c r="J24" s="611"/>
      <c r="K24" s="611"/>
      <c r="L24" s="611"/>
      <c r="M24" s="611"/>
      <c r="N24" s="611"/>
      <c r="O24" s="611"/>
      <c r="P24" s="611"/>
      <c r="Q24" s="611"/>
      <c r="R24" s="611"/>
      <c r="S24" s="611" t="e">
        <f t="shared" si="13"/>
        <v>#DIV/0!</v>
      </c>
      <c r="T24" s="611" t="e">
        <f t="shared" si="14"/>
        <v>#DIV/0!</v>
      </c>
      <c r="U24" s="611">
        <f t="shared" si="12"/>
        <v>0</v>
      </c>
      <c r="V24" s="611" t="e">
        <f t="shared" si="3"/>
        <v>#DIV/0!</v>
      </c>
      <c r="W24" s="611" t="e">
        <f t="shared" si="4"/>
        <v>#DIV/0!</v>
      </c>
      <c r="X24" s="611" t="e">
        <f t="shared" si="5"/>
        <v>#DIV/0!</v>
      </c>
      <c r="Y24" s="611" t="e">
        <f t="shared" si="6"/>
        <v>#DIV/0!</v>
      </c>
      <c r="Z24" s="611" t="e">
        <f t="shared" si="7"/>
        <v>#DIV/0!</v>
      </c>
      <c r="AA24" s="611" t="e">
        <f t="shared" si="8"/>
        <v>#DIV/0!</v>
      </c>
      <c r="AB24" s="611" t="e">
        <f t="shared" si="9"/>
        <v>#DIV/0!</v>
      </c>
      <c r="AC24" s="611" t="e">
        <f t="shared" si="10"/>
        <v>#DIV/0!</v>
      </c>
      <c r="AD24" s="611" t="e">
        <f t="shared" si="11"/>
        <v>#DIV/0!</v>
      </c>
      <c r="AE24" s="603"/>
    </row>
    <row r="25" spans="1:31" s="633" customFormat="1">
      <c r="A25" s="615" t="s">
        <v>203</v>
      </c>
      <c r="B25" s="616"/>
      <c r="C25" s="616"/>
      <c r="D25" s="616"/>
      <c r="E25" s="616"/>
      <c r="F25" s="616"/>
      <c r="G25" s="616"/>
      <c r="H25" s="616"/>
      <c r="I25" s="616"/>
      <c r="J25" s="617"/>
      <c r="K25" s="617">
        <f t="shared" ref="K25:R25" si="15">SUM(K7:K24)</f>
        <v>0</v>
      </c>
      <c r="L25" s="617">
        <f t="shared" si="15"/>
        <v>18151573</v>
      </c>
      <c r="M25" s="617">
        <f t="shared" si="15"/>
        <v>21139637</v>
      </c>
      <c r="N25" s="617">
        <f t="shared" si="15"/>
        <v>25696734</v>
      </c>
      <c r="O25" s="617">
        <f t="shared" si="15"/>
        <v>15710298</v>
      </c>
      <c r="P25" s="617">
        <f t="shared" si="15"/>
        <v>24189804</v>
      </c>
      <c r="Q25" s="617">
        <f t="shared" si="15"/>
        <v>55936339.710000001</v>
      </c>
      <c r="R25" s="617">
        <f t="shared" si="15"/>
        <v>35097346</v>
      </c>
      <c r="S25" s="618">
        <f>AVERAGE(L25:Q25)</f>
        <v>26804064.285</v>
      </c>
      <c r="T25" s="618">
        <f>AVERAGE(L25:N25)</f>
        <v>21662648</v>
      </c>
      <c r="U25" s="617">
        <f t="shared" ref="U25:AD25" si="16">SUM(U7:U24)</f>
        <v>40643207.909999996</v>
      </c>
      <c r="V25" s="617" t="e">
        <f t="shared" si="16"/>
        <v>#DIV/0!</v>
      </c>
      <c r="W25" s="617" t="e">
        <f t="shared" si="16"/>
        <v>#DIV/0!</v>
      </c>
      <c r="X25" s="617" t="e">
        <f t="shared" si="16"/>
        <v>#DIV/0!</v>
      </c>
      <c r="Y25" s="617" t="e">
        <f t="shared" si="16"/>
        <v>#DIV/0!</v>
      </c>
      <c r="Z25" s="617" t="e">
        <f t="shared" si="16"/>
        <v>#DIV/0!</v>
      </c>
      <c r="AA25" s="617" t="e">
        <f t="shared" si="16"/>
        <v>#DIV/0!</v>
      </c>
      <c r="AB25" s="617" t="e">
        <f t="shared" si="16"/>
        <v>#DIV/0!</v>
      </c>
      <c r="AC25" s="617" t="e">
        <f t="shared" si="16"/>
        <v>#DIV/0!</v>
      </c>
      <c r="AD25" s="617" t="e">
        <f t="shared" si="16"/>
        <v>#DIV/0!</v>
      </c>
      <c r="AE25" s="625"/>
    </row>
    <row r="27" spans="1:31">
      <c r="A27" s="603">
        <v>2</v>
      </c>
      <c r="B27" s="603" t="s">
        <v>264</v>
      </c>
      <c r="C27" s="603"/>
      <c r="D27" s="603"/>
      <c r="E27" s="603"/>
      <c r="F27" s="603"/>
      <c r="G27" s="603"/>
      <c r="H27" s="603"/>
      <c r="I27" s="603"/>
      <c r="J27" s="1923" t="s">
        <v>319</v>
      </c>
      <c r="K27" s="1923"/>
      <c r="L27" s="1923"/>
      <c r="M27" s="1923"/>
      <c r="N27" s="1923"/>
      <c r="O27" s="1923"/>
      <c r="P27" s="1923"/>
      <c r="Q27" s="1923"/>
      <c r="R27" s="604"/>
      <c r="S27" s="604"/>
      <c r="T27" s="603"/>
      <c r="U27" s="603"/>
      <c r="V27" s="603"/>
      <c r="W27" s="603"/>
      <c r="X27" s="603"/>
      <c r="Y27" s="603"/>
      <c r="Z27" s="603"/>
      <c r="AA27" s="603"/>
      <c r="AB27" s="603"/>
      <c r="AC27" s="603"/>
      <c r="AD27" s="603"/>
      <c r="AE27" s="603"/>
    </row>
    <row r="28" spans="1:31">
      <c r="A28" s="603"/>
      <c r="B28" s="603" t="s">
        <v>357</v>
      </c>
      <c r="C28" s="603"/>
      <c r="D28" s="603"/>
      <c r="E28" s="603">
        <v>2010</v>
      </c>
      <c r="F28" s="603">
        <v>2011</v>
      </c>
      <c r="G28" s="603">
        <v>2012</v>
      </c>
      <c r="H28" s="603">
        <v>2013</v>
      </c>
      <c r="I28" s="603">
        <v>2014</v>
      </c>
      <c r="J28" s="494">
        <v>2015</v>
      </c>
      <c r="K28" s="494" t="s">
        <v>303</v>
      </c>
      <c r="L28" s="494" t="s">
        <v>304</v>
      </c>
      <c r="M28" s="494" t="s">
        <v>305</v>
      </c>
      <c r="N28" s="494" t="s">
        <v>306</v>
      </c>
      <c r="O28" s="494" t="s">
        <v>307</v>
      </c>
      <c r="P28" s="494" t="s">
        <v>308</v>
      </c>
      <c r="Q28" s="494" t="s">
        <v>309</v>
      </c>
      <c r="R28" s="494" t="s">
        <v>340</v>
      </c>
      <c r="S28" s="494" t="s">
        <v>355</v>
      </c>
      <c r="T28" s="494" t="s">
        <v>356</v>
      </c>
      <c r="U28" s="494" t="s">
        <v>341</v>
      </c>
      <c r="V28" s="494" t="s">
        <v>342</v>
      </c>
      <c r="W28" s="494" t="s">
        <v>343</v>
      </c>
      <c r="X28" s="494" t="s">
        <v>344</v>
      </c>
      <c r="Y28" s="494" t="s">
        <v>345</v>
      </c>
      <c r="Z28" s="494" t="s">
        <v>346</v>
      </c>
      <c r="AA28" s="494" t="s">
        <v>347</v>
      </c>
      <c r="AB28" s="494" t="s">
        <v>348</v>
      </c>
      <c r="AC28" s="494" t="s">
        <v>349</v>
      </c>
      <c r="AD28" s="494" t="s">
        <v>350</v>
      </c>
      <c r="AE28" s="494" t="s">
        <v>353</v>
      </c>
    </row>
    <row r="29" spans="1:31">
      <c r="A29" s="603" t="s">
        <v>16</v>
      </c>
      <c r="B29" s="603"/>
      <c r="C29" s="603"/>
      <c r="D29" s="603"/>
      <c r="E29" s="619">
        <f t="shared" ref="E29:J29" si="17">E6-D6</f>
        <v>-3669000</v>
      </c>
      <c r="F29" s="619">
        <f t="shared" si="17"/>
        <v>31699000</v>
      </c>
      <c r="G29" s="619">
        <f t="shared" si="17"/>
        <v>-29054000</v>
      </c>
      <c r="H29" s="619">
        <f t="shared" si="17"/>
        <v>-18916000</v>
      </c>
      <c r="I29" s="619">
        <f t="shared" si="17"/>
        <v>11253000</v>
      </c>
      <c r="J29" s="619">
        <f t="shared" si="17"/>
        <v>-1108000</v>
      </c>
      <c r="K29" s="619">
        <f t="shared" ref="K29:R30" si="18">K6-J6</f>
        <v>-2123000</v>
      </c>
      <c r="L29" s="619">
        <f t="shared" si="18"/>
        <v>-4244000</v>
      </c>
      <c r="M29" s="619">
        <f t="shared" si="18"/>
        <v>1748000</v>
      </c>
      <c r="N29" s="619">
        <f t="shared" si="18"/>
        <v>7813000</v>
      </c>
      <c r="O29" s="619">
        <f t="shared" si="18"/>
        <v>-98749000</v>
      </c>
      <c r="P29" s="619">
        <f t="shared" si="18"/>
        <v>-24454000</v>
      </c>
      <c r="Q29" s="619">
        <f t="shared" si="18"/>
        <v>113727000</v>
      </c>
      <c r="R29" s="619">
        <f t="shared" si="18"/>
        <v>34182851.836439848</v>
      </c>
      <c r="S29" s="611">
        <f t="shared" ref="S29" si="19">AVERAGE(M29:Q29)</f>
        <v>17000</v>
      </c>
      <c r="T29" s="611">
        <f t="shared" ref="T29" si="20">AVERAGE(M29:N29)</f>
        <v>4780500</v>
      </c>
      <c r="U29" s="619">
        <f t="shared" ref="U29:U48" si="21">U6-R6</f>
        <v>-379686.13914549351</v>
      </c>
      <c r="V29" s="619">
        <f t="shared" ref="V29:AD29" si="22">V6-U6</f>
        <v>-379332.25454288721</v>
      </c>
      <c r="W29" s="619">
        <f t="shared" si="22"/>
        <v>-378978.69977664948</v>
      </c>
      <c r="X29" s="619">
        <f t="shared" si="22"/>
        <v>-378625.47453939915</v>
      </c>
      <c r="Y29" s="619">
        <f t="shared" si="22"/>
        <v>-378272.57852399349</v>
      </c>
      <c r="Z29" s="619">
        <f t="shared" si="22"/>
        <v>-377920.0114235878</v>
      </c>
      <c r="AA29" s="619">
        <f t="shared" si="22"/>
        <v>-377567.77293163538</v>
      </c>
      <c r="AB29" s="619">
        <f t="shared" si="22"/>
        <v>-377215.86274182796</v>
      </c>
      <c r="AC29" s="619">
        <f t="shared" si="22"/>
        <v>-376864.28054821491</v>
      </c>
      <c r="AD29" s="619">
        <f t="shared" si="22"/>
        <v>-376513.02604502439</v>
      </c>
      <c r="AE29" s="494"/>
    </row>
    <row r="30" spans="1:31">
      <c r="A30" s="494" t="s">
        <v>40</v>
      </c>
      <c r="B30" s="609"/>
      <c r="C30" s="609"/>
      <c r="D30" s="609"/>
      <c r="E30" s="609"/>
      <c r="F30" s="609"/>
      <c r="G30" s="609"/>
      <c r="H30" s="609"/>
      <c r="I30" s="609"/>
      <c r="J30" s="619"/>
      <c r="K30" s="619">
        <f t="shared" si="18"/>
        <v>0</v>
      </c>
      <c r="L30" s="619">
        <f t="shared" si="18"/>
        <v>0</v>
      </c>
      <c r="M30" s="619">
        <f t="shared" si="18"/>
        <v>0</v>
      </c>
      <c r="N30" s="619">
        <f t="shared" si="18"/>
        <v>0</v>
      </c>
      <c r="O30" s="619">
        <f t="shared" si="18"/>
        <v>0</v>
      </c>
      <c r="P30" s="619">
        <f t="shared" si="18"/>
        <v>0</v>
      </c>
      <c r="Q30" s="619">
        <f t="shared" si="18"/>
        <v>0</v>
      </c>
      <c r="R30" s="619">
        <f t="shared" si="18"/>
        <v>0</v>
      </c>
      <c r="S30" s="611">
        <f t="shared" ref="S30" si="23">AVERAGE(M30:Q30)</f>
        <v>0</v>
      </c>
      <c r="T30" s="611">
        <f t="shared" ref="T30" si="24">AVERAGE(M30:N30)</f>
        <v>0</v>
      </c>
      <c r="U30" s="619">
        <f t="shared" si="21"/>
        <v>0</v>
      </c>
      <c r="V30" s="619" t="e">
        <f t="shared" ref="V30:AD30" si="25">V7-U7</f>
        <v>#DIV/0!</v>
      </c>
      <c r="W30" s="619" t="e">
        <f t="shared" si="25"/>
        <v>#DIV/0!</v>
      </c>
      <c r="X30" s="619" t="e">
        <f t="shared" si="25"/>
        <v>#DIV/0!</v>
      </c>
      <c r="Y30" s="619" t="e">
        <f t="shared" si="25"/>
        <v>#DIV/0!</v>
      </c>
      <c r="Z30" s="619" t="e">
        <f t="shared" si="25"/>
        <v>#DIV/0!</v>
      </c>
      <c r="AA30" s="619" t="e">
        <f t="shared" si="25"/>
        <v>#DIV/0!</v>
      </c>
      <c r="AB30" s="619" t="e">
        <f t="shared" si="25"/>
        <v>#DIV/0!</v>
      </c>
      <c r="AC30" s="619" t="e">
        <f t="shared" si="25"/>
        <v>#DIV/0!</v>
      </c>
      <c r="AD30" s="619" t="e">
        <f t="shared" si="25"/>
        <v>#DIV/0!</v>
      </c>
      <c r="AE30" s="611"/>
    </row>
    <row r="31" spans="1:31">
      <c r="A31" s="494" t="s">
        <v>59</v>
      </c>
      <c r="B31" s="612"/>
      <c r="C31" s="612"/>
      <c r="D31" s="612"/>
      <c r="E31" s="612"/>
      <c r="F31" s="612"/>
      <c r="G31" s="612"/>
      <c r="H31" s="612"/>
      <c r="I31" s="612"/>
      <c r="J31" s="619"/>
      <c r="K31" s="619">
        <f t="shared" ref="K31:R31" si="26">K8-J8</f>
        <v>0</v>
      </c>
      <c r="L31" s="619">
        <f t="shared" si="26"/>
        <v>1300000</v>
      </c>
      <c r="M31" s="619">
        <f t="shared" si="26"/>
        <v>-21000</v>
      </c>
      <c r="N31" s="619">
        <f t="shared" si="26"/>
        <v>8000</v>
      </c>
      <c r="O31" s="619">
        <f t="shared" si="26"/>
        <v>-382000</v>
      </c>
      <c r="P31" s="619">
        <f t="shared" si="26"/>
        <v>-41000</v>
      </c>
      <c r="Q31" s="619">
        <f t="shared" si="26"/>
        <v>219000.70999999996</v>
      </c>
      <c r="R31" s="619">
        <f t="shared" si="26"/>
        <v>23090.290000000037</v>
      </c>
      <c r="S31" s="611">
        <f t="shared" ref="S31:S48" si="27">AVERAGE(M31:Q31)</f>
        <v>-43399.858000000007</v>
      </c>
      <c r="T31" s="611">
        <f t="shared" ref="T31:T48" si="28">AVERAGE(M31:N31)</f>
        <v>-6500</v>
      </c>
      <c r="U31" s="619">
        <f t="shared" si="21"/>
        <v>11060.909999999916</v>
      </c>
      <c r="V31" s="619">
        <f t="shared" ref="V31:AD31" si="29">V8-U8</f>
        <v>-5529.3207694382872</v>
      </c>
      <c r="W31" s="619">
        <f t="shared" si="29"/>
        <v>11116.225892305607</v>
      </c>
      <c r="X31" s="619">
        <f t="shared" si="29"/>
        <v>-5556.9730432750657</v>
      </c>
      <c r="Y31" s="619">
        <f t="shared" si="29"/>
        <v>-5529.4689176604152</v>
      </c>
      <c r="Z31" s="619">
        <f t="shared" si="29"/>
        <v>-5502.1009231586941</v>
      </c>
      <c r="AA31" s="619">
        <f t="shared" si="29"/>
        <v>-5474.8683859920129</v>
      </c>
      <c r="AB31" s="619">
        <f t="shared" si="29"/>
        <v>-5447.7706357168499</v>
      </c>
      <c r="AC31" s="619">
        <f t="shared" si="29"/>
        <v>-5420.8070052082185</v>
      </c>
      <c r="AD31" s="619">
        <f t="shared" si="29"/>
        <v>-5393.9768306431361</v>
      </c>
      <c r="AE31" s="611"/>
    </row>
    <row r="32" spans="1:31">
      <c r="A32" s="494" t="s">
        <v>43</v>
      </c>
      <c r="B32" s="612"/>
      <c r="C32" s="612"/>
      <c r="D32" s="612"/>
      <c r="E32" s="612"/>
      <c r="F32" s="612"/>
      <c r="G32" s="612"/>
      <c r="H32" s="612"/>
      <c r="I32" s="612"/>
      <c r="J32" s="619"/>
      <c r="K32" s="619">
        <f t="shared" ref="K32:R32" si="30">K9-J9</f>
        <v>0</v>
      </c>
      <c r="L32" s="619">
        <f t="shared" si="30"/>
        <v>0</v>
      </c>
      <c r="M32" s="619">
        <f t="shared" si="30"/>
        <v>0</v>
      </c>
      <c r="N32" s="619">
        <f t="shared" si="30"/>
        <v>0</v>
      </c>
      <c r="O32" s="619">
        <f t="shared" si="30"/>
        <v>0</v>
      </c>
      <c r="P32" s="619">
        <f t="shared" si="30"/>
        <v>0</v>
      </c>
      <c r="Q32" s="619">
        <f t="shared" si="30"/>
        <v>0</v>
      </c>
      <c r="R32" s="619">
        <f t="shared" si="30"/>
        <v>0</v>
      </c>
      <c r="S32" s="611">
        <f t="shared" si="27"/>
        <v>0</v>
      </c>
      <c r="T32" s="611">
        <f t="shared" si="28"/>
        <v>0</v>
      </c>
      <c r="U32" s="619">
        <f t="shared" si="21"/>
        <v>0</v>
      </c>
      <c r="V32" s="619" t="e">
        <f t="shared" ref="V32:AD32" si="31">V9-U9</f>
        <v>#DIV/0!</v>
      </c>
      <c r="W32" s="619" t="e">
        <f t="shared" si="31"/>
        <v>#DIV/0!</v>
      </c>
      <c r="X32" s="619" t="e">
        <f t="shared" si="31"/>
        <v>#DIV/0!</v>
      </c>
      <c r="Y32" s="619" t="e">
        <f t="shared" si="31"/>
        <v>#DIV/0!</v>
      </c>
      <c r="Z32" s="619" t="e">
        <f t="shared" si="31"/>
        <v>#DIV/0!</v>
      </c>
      <c r="AA32" s="619" t="e">
        <f t="shared" si="31"/>
        <v>#DIV/0!</v>
      </c>
      <c r="AB32" s="619" t="e">
        <f t="shared" si="31"/>
        <v>#DIV/0!</v>
      </c>
      <c r="AC32" s="619" t="e">
        <f t="shared" si="31"/>
        <v>#DIV/0!</v>
      </c>
      <c r="AD32" s="619" t="e">
        <f t="shared" si="31"/>
        <v>#DIV/0!</v>
      </c>
      <c r="AE32" s="611"/>
    </row>
    <row r="33" spans="1:31">
      <c r="A33" s="494" t="s">
        <v>44</v>
      </c>
      <c r="B33" s="612"/>
      <c r="C33" s="612"/>
      <c r="D33" s="612"/>
      <c r="E33" s="612"/>
      <c r="F33" s="612"/>
      <c r="G33" s="612"/>
      <c r="H33" s="612"/>
      <c r="I33" s="612"/>
      <c r="J33" s="619"/>
      <c r="K33" s="619">
        <f t="shared" ref="K33:R33" si="32">K10-J10</f>
        <v>0</v>
      </c>
      <c r="L33" s="619">
        <f t="shared" si="32"/>
        <v>0</v>
      </c>
      <c r="M33" s="619">
        <f t="shared" si="32"/>
        <v>0</v>
      </c>
      <c r="N33" s="619">
        <f t="shared" si="32"/>
        <v>0</v>
      </c>
      <c r="O33" s="619">
        <f t="shared" si="32"/>
        <v>0</v>
      </c>
      <c r="P33" s="619">
        <f t="shared" si="32"/>
        <v>0</v>
      </c>
      <c r="Q33" s="619">
        <f t="shared" si="32"/>
        <v>0</v>
      </c>
      <c r="R33" s="619">
        <f t="shared" si="32"/>
        <v>0</v>
      </c>
      <c r="S33" s="611">
        <f t="shared" si="27"/>
        <v>0</v>
      </c>
      <c r="T33" s="611">
        <f t="shared" si="28"/>
        <v>0</v>
      </c>
      <c r="U33" s="619">
        <f t="shared" si="21"/>
        <v>0</v>
      </c>
      <c r="V33" s="619" t="e">
        <f t="shared" ref="V33:AD33" si="33">V10-U10</f>
        <v>#DIV/0!</v>
      </c>
      <c r="W33" s="619" t="e">
        <f t="shared" si="33"/>
        <v>#DIV/0!</v>
      </c>
      <c r="X33" s="619" t="e">
        <f t="shared" si="33"/>
        <v>#DIV/0!</v>
      </c>
      <c r="Y33" s="619" t="e">
        <f t="shared" si="33"/>
        <v>#DIV/0!</v>
      </c>
      <c r="Z33" s="619" t="e">
        <f t="shared" si="33"/>
        <v>#DIV/0!</v>
      </c>
      <c r="AA33" s="619" t="e">
        <f t="shared" si="33"/>
        <v>#DIV/0!</v>
      </c>
      <c r="AB33" s="619" t="e">
        <f t="shared" si="33"/>
        <v>#DIV/0!</v>
      </c>
      <c r="AC33" s="619" t="e">
        <f t="shared" si="33"/>
        <v>#DIV/0!</v>
      </c>
      <c r="AD33" s="619" t="e">
        <f t="shared" si="33"/>
        <v>#DIV/0!</v>
      </c>
      <c r="AE33" s="611"/>
    </row>
    <row r="34" spans="1:31">
      <c r="A34" s="494" t="s">
        <v>57</v>
      </c>
      <c r="B34" s="612"/>
      <c r="C34" s="612"/>
      <c r="D34" s="612"/>
      <c r="E34" s="612"/>
      <c r="F34" s="612"/>
      <c r="G34" s="612"/>
      <c r="H34" s="612"/>
      <c r="I34" s="612"/>
      <c r="J34" s="619"/>
      <c r="K34" s="619">
        <f t="shared" ref="K34:R34" si="34">K11-J11</f>
        <v>0</v>
      </c>
      <c r="L34" s="619">
        <f t="shared" si="34"/>
        <v>0</v>
      </c>
      <c r="M34" s="619">
        <f t="shared" si="34"/>
        <v>0</v>
      </c>
      <c r="N34" s="619">
        <f t="shared" si="34"/>
        <v>0</v>
      </c>
      <c r="O34" s="619">
        <f t="shared" si="34"/>
        <v>0</v>
      </c>
      <c r="P34" s="619">
        <f t="shared" si="34"/>
        <v>0</v>
      </c>
      <c r="Q34" s="619">
        <f t="shared" si="34"/>
        <v>0</v>
      </c>
      <c r="R34" s="619">
        <f t="shared" si="34"/>
        <v>0</v>
      </c>
      <c r="S34" s="611">
        <f t="shared" si="27"/>
        <v>0</v>
      </c>
      <c r="T34" s="611">
        <f t="shared" si="28"/>
        <v>0</v>
      </c>
      <c r="U34" s="619">
        <f t="shared" si="21"/>
        <v>0</v>
      </c>
      <c r="V34" s="619" t="e">
        <f t="shared" ref="V34:AD34" si="35">V11-U11</f>
        <v>#DIV/0!</v>
      </c>
      <c r="W34" s="619" t="e">
        <f t="shared" si="35"/>
        <v>#DIV/0!</v>
      </c>
      <c r="X34" s="619" t="e">
        <f t="shared" si="35"/>
        <v>#DIV/0!</v>
      </c>
      <c r="Y34" s="619" t="e">
        <f t="shared" si="35"/>
        <v>#DIV/0!</v>
      </c>
      <c r="Z34" s="619" t="e">
        <f t="shared" si="35"/>
        <v>#DIV/0!</v>
      </c>
      <c r="AA34" s="619" t="e">
        <f t="shared" si="35"/>
        <v>#DIV/0!</v>
      </c>
      <c r="AB34" s="619" t="e">
        <f t="shared" si="35"/>
        <v>#DIV/0!</v>
      </c>
      <c r="AC34" s="619" t="e">
        <f t="shared" si="35"/>
        <v>#DIV/0!</v>
      </c>
      <c r="AD34" s="619" t="e">
        <f t="shared" si="35"/>
        <v>#DIV/0!</v>
      </c>
      <c r="AE34" s="611"/>
    </row>
    <row r="35" spans="1:31">
      <c r="A35" s="494" t="s">
        <v>55</v>
      </c>
      <c r="B35" s="612"/>
      <c r="C35" s="612"/>
      <c r="D35" s="612"/>
      <c r="E35" s="612"/>
      <c r="F35" s="612"/>
      <c r="G35" s="612"/>
      <c r="H35" s="612"/>
      <c r="I35" s="612"/>
      <c r="J35" s="619"/>
      <c r="K35" s="619">
        <f t="shared" ref="K35:R35" si="36">K12-J12</f>
        <v>0</v>
      </c>
      <c r="L35" s="619">
        <f t="shared" si="36"/>
        <v>0</v>
      </c>
      <c r="M35" s="619">
        <f t="shared" si="36"/>
        <v>0</v>
      </c>
      <c r="N35" s="619">
        <f t="shared" si="36"/>
        <v>0</v>
      </c>
      <c r="O35" s="619">
        <f t="shared" si="36"/>
        <v>0</v>
      </c>
      <c r="P35" s="619">
        <f t="shared" si="36"/>
        <v>0</v>
      </c>
      <c r="Q35" s="619">
        <f t="shared" si="36"/>
        <v>0</v>
      </c>
      <c r="R35" s="619">
        <f t="shared" si="36"/>
        <v>5054011</v>
      </c>
      <c r="S35" s="611">
        <f t="shared" si="27"/>
        <v>0</v>
      </c>
      <c r="T35" s="611">
        <f t="shared" si="28"/>
        <v>0</v>
      </c>
      <c r="U35" s="619">
        <f t="shared" si="21"/>
        <v>-5054011</v>
      </c>
      <c r="V35" s="619" t="e">
        <f t="shared" ref="V35:AD35" si="37">V12-U12</f>
        <v>#DIV/0!</v>
      </c>
      <c r="W35" s="619" t="e">
        <f t="shared" si="37"/>
        <v>#DIV/0!</v>
      </c>
      <c r="X35" s="619" t="e">
        <f t="shared" si="37"/>
        <v>#DIV/0!</v>
      </c>
      <c r="Y35" s="619" t="e">
        <f t="shared" si="37"/>
        <v>#DIV/0!</v>
      </c>
      <c r="Z35" s="619" t="e">
        <f t="shared" si="37"/>
        <v>#DIV/0!</v>
      </c>
      <c r="AA35" s="619" t="e">
        <f t="shared" si="37"/>
        <v>#DIV/0!</v>
      </c>
      <c r="AB35" s="619" t="e">
        <f t="shared" si="37"/>
        <v>#DIV/0!</v>
      </c>
      <c r="AC35" s="619" t="e">
        <f t="shared" si="37"/>
        <v>#DIV/0!</v>
      </c>
      <c r="AD35" s="619" t="e">
        <f t="shared" si="37"/>
        <v>#DIV/0!</v>
      </c>
      <c r="AE35" s="611"/>
    </row>
    <row r="36" spans="1:31">
      <c r="A36" s="494" t="s">
        <v>45</v>
      </c>
      <c r="B36" s="612"/>
      <c r="C36" s="612"/>
      <c r="D36" s="612"/>
      <c r="E36" s="612"/>
      <c r="F36" s="612"/>
      <c r="G36" s="612"/>
      <c r="H36" s="612"/>
      <c r="I36" s="612"/>
      <c r="J36" s="619"/>
      <c r="K36" s="619">
        <f t="shared" ref="K36:R36" si="38">K13-J13</f>
        <v>0</v>
      </c>
      <c r="L36" s="619">
        <f t="shared" si="38"/>
        <v>0</v>
      </c>
      <c r="M36" s="619">
        <f t="shared" si="38"/>
        <v>0</v>
      </c>
      <c r="N36" s="619">
        <f t="shared" si="38"/>
        <v>0</v>
      </c>
      <c r="O36" s="619">
        <f t="shared" si="38"/>
        <v>0</v>
      </c>
      <c r="P36" s="619">
        <f t="shared" si="38"/>
        <v>0</v>
      </c>
      <c r="Q36" s="619">
        <f t="shared" si="38"/>
        <v>25008961</v>
      </c>
      <c r="R36" s="619">
        <f t="shared" si="38"/>
        <v>-25008961</v>
      </c>
      <c r="S36" s="611">
        <f t="shared" si="27"/>
        <v>5001792.2</v>
      </c>
      <c r="T36" s="611">
        <f t="shared" si="28"/>
        <v>0</v>
      </c>
      <c r="U36" s="619">
        <f t="shared" si="21"/>
        <v>0</v>
      </c>
      <c r="V36" s="619" t="e">
        <f t="shared" ref="V36:AD36" si="39">V13-U13</f>
        <v>#DIV/0!</v>
      </c>
      <c r="W36" s="619" t="e">
        <f t="shared" si="39"/>
        <v>#DIV/0!</v>
      </c>
      <c r="X36" s="619" t="e">
        <f t="shared" si="39"/>
        <v>#DIV/0!</v>
      </c>
      <c r="Y36" s="619" t="e">
        <f t="shared" si="39"/>
        <v>#DIV/0!</v>
      </c>
      <c r="Z36" s="619" t="e">
        <f t="shared" si="39"/>
        <v>#DIV/0!</v>
      </c>
      <c r="AA36" s="619" t="e">
        <f t="shared" si="39"/>
        <v>#DIV/0!</v>
      </c>
      <c r="AB36" s="619" t="e">
        <f t="shared" si="39"/>
        <v>#DIV/0!</v>
      </c>
      <c r="AC36" s="619" t="e">
        <f t="shared" si="39"/>
        <v>#DIV/0!</v>
      </c>
      <c r="AD36" s="619" t="e">
        <f t="shared" si="39"/>
        <v>#DIV/0!</v>
      </c>
      <c r="AE36" s="611"/>
    </row>
    <row r="37" spans="1:31" outlineLevel="1">
      <c r="A37" s="494" t="s">
        <v>48</v>
      </c>
      <c r="B37" s="612"/>
      <c r="C37" s="612"/>
      <c r="D37" s="612"/>
      <c r="E37" s="612"/>
      <c r="F37" s="612"/>
      <c r="G37" s="612"/>
      <c r="H37" s="612"/>
      <c r="I37" s="612"/>
      <c r="J37" s="611"/>
      <c r="K37" s="619">
        <f t="shared" ref="K37:R37" si="40">K14-J14</f>
        <v>0</v>
      </c>
      <c r="L37" s="619">
        <f t="shared" si="40"/>
        <v>0</v>
      </c>
      <c r="M37" s="619">
        <f t="shared" si="40"/>
        <v>0</v>
      </c>
      <c r="N37" s="619">
        <f t="shared" si="40"/>
        <v>0</v>
      </c>
      <c r="O37" s="619">
        <f t="shared" si="40"/>
        <v>0</v>
      </c>
      <c r="P37" s="619">
        <f t="shared" si="40"/>
        <v>0</v>
      </c>
      <c r="Q37" s="619">
        <f t="shared" si="40"/>
        <v>0</v>
      </c>
      <c r="R37" s="619">
        <f t="shared" si="40"/>
        <v>0</v>
      </c>
      <c r="S37" s="611">
        <f t="shared" si="27"/>
        <v>0</v>
      </c>
      <c r="T37" s="611">
        <f t="shared" si="28"/>
        <v>0</v>
      </c>
      <c r="U37" s="619">
        <f t="shared" si="21"/>
        <v>0</v>
      </c>
      <c r="V37" s="619" t="e">
        <f t="shared" ref="V37:AD37" si="41">V14-U14</f>
        <v>#DIV/0!</v>
      </c>
      <c r="W37" s="619" t="e">
        <f t="shared" si="41"/>
        <v>#DIV/0!</v>
      </c>
      <c r="X37" s="619" t="e">
        <f t="shared" si="41"/>
        <v>#DIV/0!</v>
      </c>
      <c r="Y37" s="619" t="e">
        <f t="shared" si="41"/>
        <v>#DIV/0!</v>
      </c>
      <c r="Z37" s="619" t="e">
        <f t="shared" si="41"/>
        <v>#DIV/0!</v>
      </c>
      <c r="AA37" s="619" t="e">
        <f t="shared" si="41"/>
        <v>#DIV/0!</v>
      </c>
      <c r="AB37" s="619" t="e">
        <f t="shared" si="41"/>
        <v>#DIV/0!</v>
      </c>
      <c r="AC37" s="619" t="e">
        <f t="shared" si="41"/>
        <v>#DIV/0!</v>
      </c>
      <c r="AD37" s="619" t="e">
        <f t="shared" si="41"/>
        <v>#DIV/0!</v>
      </c>
      <c r="AE37" s="603"/>
    </row>
    <row r="38" spans="1:31" outlineLevel="1">
      <c r="A38" s="494" t="s">
        <v>50</v>
      </c>
      <c r="B38" s="612"/>
      <c r="C38" s="612"/>
      <c r="D38" s="612"/>
      <c r="E38" s="612"/>
      <c r="F38" s="612"/>
      <c r="G38" s="612"/>
      <c r="H38" s="612"/>
      <c r="I38" s="612"/>
      <c r="J38" s="611"/>
      <c r="K38" s="619">
        <f t="shared" ref="K38:R38" si="42">K15-J15</f>
        <v>0</v>
      </c>
      <c r="L38" s="619">
        <f t="shared" si="42"/>
        <v>0</v>
      </c>
      <c r="M38" s="619">
        <f t="shared" si="42"/>
        <v>0</v>
      </c>
      <c r="N38" s="619">
        <f t="shared" si="42"/>
        <v>0</v>
      </c>
      <c r="O38" s="619">
        <f t="shared" si="42"/>
        <v>0</v>
      </c>
      <c r="P38" s="619">
        <f t="shared" si="42"/>
        <v>0</v>
      </c>
      <c r="Q38" s="619">
        <f t="shared" si="42"/>
        <v>33030</v>
      </c>
      <c r="R38" s="619">
        <f t="shared" si="42"/>
        <v>6048</v>
      </c>
      <c r="S38" s="611">
        <f t="shared" si="27"/>
        <v>6606</v>
      </c>
      <c r="T38" s="611">
        <f t="shared" si="28"/>
        <v>0</v>
      </c>
      <c r="U38" s="619">
        <f t="shared" si="21"/>
        <v>-39078</v>
      </c>
      <c r="V38" s="619" t="e">
        <f t="shared" ref="V38:AD38" si="43">V15-U15</f>
        <v>#DIV/0!</v>
      </c>
      <c r="W38" s="619" t="e">
        <f t="shared" si="43"/>
        <v>#DIV/0!</v>
      </c>
      <c r="X38" s="619" t="e">
        <f t="shared" si="43"/>
        <v>#DIV/0!</v>
      </c>
      <c r="Y38" s="619" t="e">
        <f t="shared" si="43"/>
        <v>#DIV/0!</v>
      </c>
      <c r="Z38" s="619" t="e">
        <f t="shared" si="43"/>
        <v>#DIV/0!</v>
      </c>
      <c r="AA38" s="619" t="e">
        <f t="shared" si="43"/>
        <v>#DIV/0!</v>
      </c>
      <c r="AB38" s="619" t="e">
        <f t="shared" si="43"/>
        <v>#DIV/0!</v>
      </c>
      <c r="AC38" s="619" t="e">
        <f t="shared" si="43"/>
        <v>#DIV/0!</v>
      </c>
      <c r="AD38" s="619" t="e">
        <f t="shared" si="43"/>
        <v>#DIV/0!</v>
      </c>
      <c r="AE38" s="603"/>
    </row>
    <row r="39" spans="1:31" outlineLevel="1">
      <c r="A39" s="494" t="s">
        <v>47</v>
      </c>
      <c r="B39" s="612"/>
      <c r="C39" s="612"/>
      <c r="D39" s="612"/>
      <c r="E39" s="612"/>
      <c r="F39" s="612"/>
      <c r="G39" s="612"/>
      <c r="H39" s="612"/>
      <c r="I39" s="612"/>
      <c r="J39" s="611"/>
      <c r="K39" s="619">
        <f t="shared" ref="K39:R39" si="44">K16-J16</f>
        <v>0</v>
      </c>
      <c r="L39" s="619">
        <f t="shared" si="44"/>
        <v>0</v>
      </c>
      <c r="M39" s="619">
        <f t="shared" si="44"/>
        <v>0</v>
      </c>
      <c r="N39" s="619">
        <f t="shared" si="44"/>
        <v>0</v>
      </c>
      <c r="O39" s="619">
        <f t="shared" si="44"/>
        <v>0</v>
      </c>
      <c r="P39" s="619">
        <f t="shared" si="44"/>
        <v>0</v>
      </c>
      <c r="Q39" s="619">
        <f t="shared" si="44"/>
        <v>0</v>
      </c>
      <c r="R39" s="619">
        <f t="shared" si="44"/>
        <v>0</v>
      </c>
      <c r="S39" s="611">
        <f t="shared" si="27"/>
        <v>0</v>
      </c>
      <c r="T39" s="611">
        <f t="shared" si="28"/>
        <v>0</v>
      </c>
      <c r="U39" s="619">
        <f t="shared" si="21"/>
        <v>0</v>
      </c>
      <c r="V39" s="619" t="e">
        <f t="shared" ref="V39:AD39" si="45">V16-U16</f>
        <v>#DIV/0!</v>
      </c>
      <c r="W39" s="619" t="e">
        <f t="shared" si="45"/>
        <v>#DIV/0!</v>
      </c>
      <c r="X39" s="619" t="e">
        <f t="shared" si="45"/>
        <v>#DIV/0!</v>
      </c>
      <c r="Y39" s="619" t="e">
        <f t="shared" si="45"/>
        <v>#DIV/0!</v>
      </c>
      <c r="Z39" s="619" t="e">
        <f t="shared" si="45"/>
        <v>#DIV/0!</v>
      </c>
      <c r="AA39" s="619" t="e">
        <f t="shared" si="45"/>
        <v>#DIV/0!</v>
      </c>
      <c r="AB39" s="619" t="e">
        <f t="shared" si="45"/>
        <v>#DIV/0!</v>
      </c>
      <c r="AC39" s="619" t="e">
        <f t="shared" si="45"/>
        <v>#DIV/0!</v>
      </c>
      <c r="AD39" s="619" t="e">
        <f t="shared" si="45"/>
        <v>#DIV/0!</v>
      </c>
      <c r="AE39" s="603"/>
    </row>
    <row r="40" spans="1:31" outlineLevel="1">
      <c r="A40" s="494" t="s">
        <v>52</v>
      </c>
      <c r="B40" s="612"/>
      <c r="C40" s="612"/>
      <c r="D40" s="612"/>
      <c r="E40" s="612"/>
      <c r="F40" s="612"/>
      <c r="G40" s="612"/>
      <c r="H40" s="612"/>
      <c r="I40" s="612"/>
      <c r="J40" s="611"/>
      <c r="K40" s="619">
        <f t="shared" ref="K40:R40" si="46">K17-J17</f>
        <v>0</v>
      </c>
      <c r="L40" s="619">
        <f t="shared" si="46"/>
        <v>3175519</v>
      </c>
      <c r="M40" s="619">
        <f t="shared" si="46"/>
        <v>-103731</v>
      </c>
      <c r="N40" s="619">
        <f t="shared" si="46"/>
        <v>-27000</v>
      </c>
      <c r="O40" s="619">
        <f t="shared" si="46"/>
        <v>-1072946</v>
      </c>
      <c r="P40" s="619">
        <f t="shared" si="46"/>
        <v>-83620</v>
      </c>
      <c r="Q40" s="619">
        <f t="shared" si="46"/>
        <v>480390</v>
      </c>
      <c r="R40" s="619">
        <f t="shared" si="46"/>
        <v>-2368612</v>
      </c>
      <c r="S40" s="611">
        <f t="shared" si="27"/>
        <v>-161381.4</v>
      </c>
      <c r="T40" s="611">
        <f t="shared" si="28"/>
        <v>-65365.5</v>
      </c>
      <c r="U40" s="619">
        <f t="shared" si="21"/>
        <v>2783326</v>
      </c>
      <c r="V40" s="619">
        <f t="shared" ref="V40:AD40" si="47">V17-U17</f>
        <v>-57692.10007204162</v>
      </c>
      <c r="W40" s="619" t="e">
        <f t="shared" si="47"/>
        <v>#DIV/0!</v>
      </c>
      <c r="X40" s="619" t="e">
        <f t="shared" si="47"/>
        <v>#DIV/0!</v>
      </c>
      <c r="Y40" s="619" t="e">
        <f t="shared" si="47"/>
        <v>#DIV/0!</v>
      </c>
      <c r="Z40" s="619" t="e">
        <f t="shared" si="47"/>
        <v>#DIV/0!</v>
      </c>
      <c r="AA40" s="619" t="e">
        <f t="shared" si="47"/>
        <v>#DIV/0!</v>
      </c>
      <c r="AB40" s="619" t="e">
        <f t="shared" si="47"/>
        <v>#DIV/0!</v>
      </c>
      <c r="AC40" s="619" t="e">
        <f t="shared" si="47"/>
        <v>#DIV/0!</v>
      </c>
      <c r="AD40" s="619" t="e">
        <f t="shared" si="47"/>
        <v>#DIV/0!</v>
      </c>
      <c r="AE40" s="603"/>
    </row>
    <row r="41" spans="1:31" outlineLevel="1">
      <c r="A41" s="494" t="s">
        <v>60</v>
      </c>
      <c r="B41" s="612"/>
      <c r="C41" s="612"/>
      <c r="D41" s="612"/>
      <c r="E41" s="612"/>
      <c r="F41" s="612"/>
      <c r="G41" s="612"/>
      <c r="H41" s="612"/>
      <c r="I41" s="612"/>
      <c r="J41" s="611"/>
      <c r="K41" s="619">
        <f t="shared" ref="K41:R41" si="48">K18-J18</f>
        <v>0</v>
      </c>
      <c r="L41" s="619">
        <f t="shared" si="48"/>
        <v>0</v>
      </c>
      <c r="M41" s="619">
        <f t="shared" si="48"/>
        <v>0</v>
      </c>
      <c r="N41" s="619">
        <f t="shared" si="48"/>
        <v>0</v>
      </c>
      <c r="O41" s="619">
        <f t="shared" si="48"/>
        <v>0</v>
      </c>
      <c r="P41" s="619">
        <f t="shared" si="48"/>
        <v>0</v>
      </c>
      <c r="Q41" s="619">
        <f t="shared" si="48"/>
        <v>0</v>
      </c>
      <c r="R41" s="619">
        <f t="shared" si="48"/>
        <v>0</v>
      </c>
      <c r="S41" s="611">
        <f t="shared" si="27"/>
        <v>0</v>
      </c>
      <c r="T41" s="611">
        <f t="shared" si="28"/>
        <v>0</v>
      </c>
      <c r="U41" s="619">
        <f t="shared" si="21"/>
        <v>0</v>
      </c>
      <c r="V41" s="619" t="e">
        <f t="shared" ref="V41:AD41" si="49">V18-U18</f>
        <v>#DIV/0!</v>
      </c>
      <c r="W41" s="619" t="e">
        <f t="shared" si="49"/>
        <v>#DIV/0!</v>
      </c>
      <c r="X41" s="619" t="e">
        <f t="shared" si="49"/>
        <v>#DIV/0!</v>
      </c>
      <c r="Y41" s="619" t="e">
        <f t="shared" si="49"/>
        <v>#DIV/0!</v>
      </c>
      <c r="Z41" s="619" t="e">
        <f t="shared" si="49"/>
        <v>#DIV/0!</v>
      </c>
      <c r="AA41" s="619" t="e">
        <f t="shared" si="49"/>
        <v>#DIV/0!</v>
      </c>
      <c r="AB41" s="619" t="e">
        <f t="shared" si="49"/>
        <v>#DIV/0!</v>
      </c>
      <c r="AC41" s="619" t="e">
        <f t="shared" si="49"/>
        <v>#DIV/0!</v>
      </c>
      <c r="AD41" s="619" t="e">
        <f t="shared" si="49"/>
        <v>#DIV/0!</v>
      </c>
      <c r="AE41" s="603"/>
    </row>
    <row r="42" spans="1:31" outlineLevel="1">
      <c r="A42" s="494" t="s">
        <v>58</v>
      </c>
      <c r="B42" s="612"/>
      <c r="C42" s="612"/>
      <c r="D42" s="612"/>
      <c r="E42" s="612"/>
      <c r="F42" s="612"/>
      <c r="G42" s="612"/>
      <c r="H42" s="612"/>
      <c r="I42" s="612"/>
      <c r="J42" s="611"/>
      <c r="K42" s="619">
        <f t="shared" ref="K42:R42" si="50">K19-J19</f>
        <v>0</v>
      </c>
      <c r="L42" s="619">
        <f t="shared" si="50"/>
        <v>2026337</v>
      </c>
      <c r="M42" s="619">
        <f t="shared" si="50"/>
        <v>-27213</v>
      </c>
      <c r="N42" s="619">
        <f t="shared" si="50"/>
        <v>2491</v>
      </c>
      <c r="O42" s="619">
        <f t="shared" si="50"/>
        <v>-784044</v>
      </c>
      <c r="P42" s="619">
        <f t="shared" si="50"/>
        <v>-139695</v>
      </c>
      <c r="Q42" s="619">
        <f t="shared" si="50"/>
        <v>343485</v>
      </c>
      <c r="R42" s="619">
        <f t="shared" si="50"/>
        <v>-1421361</v>
      </c>
      <c r="S42" s="611">
        <f t="shared" si="27"/>
        <v>-120995.2</v>
      </c>
      <c r="T42" s="611">
        <f t="shared" si="28"/>
        <v>-12361</v>
      </c>
      <c r="U42" s="619">
        <f t="shared" si="21"/>
        <v>1952171</v>
      </c>
      <c r="V42" s="619">
        <f t="shared" ref="V42:AD42" si="51">V19-U19</f>
        <v>-11892.241021986352</v>
      </c>
      <c r="W42" s="619" t="e">
        <f t="shared" si="51"/>
        <v>#DIV/0!</v>
      </c>
      <c r="X42" s="619" t="e">
        <f t="shared" si="51"/>
        <v>#DIV/0!</v>
      </c>
      <c r="Y42" s="619" t="e">
        <f t="shared" si="51"/>
        <v>#DIV/0!</v>
      </c>
      <c r="Z42" s="619" t="e">
        <f t="shared" si="51"/>
        <v>#DIV/0!</v>
      </c>
      <c r="AA42" s="619" t="e">
        <f t="shared" si="51"/>
        <v>#DIV/0!</v>
      </c>
      <c r="AB42" s="619" t="e">
        <f t="shared" si="51"/>
        <v>#DIV/0!</v>
      </c>
      <c r="AC42" s="619" t="e">
        <f t="shared" si="51"/>
        <v>#DIV/0!</v>
      </c>
      <c r="AD42" s="619" t="e">
        <f t="shared" si="51"/>
        <v>#DIV/0!</v>
      </c>
      <c r="AE42" s="603"/>
    </row>
    <row r="43" spans="1:31" outlineLevel="1">
      <c r="A43" s="494" t="s">
        <v>49</v>
      </c>
      <c r="B43" s="612"/>
      <c r="C43" s="612"/>
      <c r="D43" s="612"/>
      <c r="E43" s="612"/>
      <c r="F43" s="612"/>
      <c r="G43" s="612"/>
      <c r="H43" s="612"/>
      <c r="I43" s="612"/>
      <c r="J43" s="611"/>
      <c r="K43" s="619">
        <f t="shared" ref="K43:R43" si="52">K20-J20</f>
        <v>0</v>
      </c>
      <c r="L43" s="619">
        <f t="shared" si="52"/>
        <v>0</v>
      </c>
      <c r="M43" s="619">
        <f t="shared" si="52"/>
        <v>0</v>
      </c>
      <c r="N43" s="619">
        <f t="shared" si="52"/>
        <v>0</v>
      </c>
      <c r="O43" s="619">
        <f t="shared" si="52"/>
        <v>0</v>
      </c>
      <c r="P43" s="619">
        <f t="shared" si="52"/>
        <v>0</v>
      </c>
      <c r="Q43" s="619">
        <f t="shared" si="52"/>
        <v>0</v>
      </c>
      <c r="R43" s="619">
        <f t="shared" si="52"/>
        <v>0</v>
      </c>
      <c r="S43" s="611">
        <f t="shared" si="27"/>
        <v>0</v>
      </c>
      <c r="T43" s="611">
        <f t="shared" si="28"/>
        <v>0</v>
      </c>
      <c r="U43" s="619">
        <f t="shared" si="21"/>
        <v>0</v>
      </c>
      <c r="V43" s="619" t="e">
        <f t="shared" ref="V43:AD43" si="53">V20-U20</f>
        <v>#DIV/0!</v>
      </c>
      <c r="W43" s="619" t="e">
        <f t="shared" si="53"/>
        <v>#DIV/0!</v>
      </c>
      <c r="X43" s="619" t="e">
        <f t="shared" si="53"/>
        <v>#DIV/0!</v>
      </c>
      <c r="Y43" s="619" t="e">
        <f t="shared" si="53"/>
        <v>#DIV/0!</v>
      </c>
      <c r="Z43" s="619" t="e">
        <f t="shared" si="53"/>
        <v>#DIV/0!</v>
      </c>
      <c r="AA43" s="619" t="e">
        <f t="shared" si="53"/>
        <v>#DIV/0!</v>
      </c>
      <c r="AB43" s="619" t="e">
        <f t="shared" si="53"/>
        <v>#DIV/0!</v>
      </c>
      <c r="AC43" s="619" t="e">
        <f t="shared" si="53"/>
        <v>#DIV/0!</v>
      </c>
      <c r="AD43" s="619" t="e">
        <f t="shared" si="53"/>
        <v>#DIV/0!</v>
      </c>
      <c r="AE43" s="603"/>
    </row>
    <row r="44" spans="1:31" outlineLevel="1">
      <c r="A44" s="494" t="s">
        <v>53</v>
      </c>
      <c r="B44" s="612"/>
      <c r="C44" s="612"/>
      <c r="D44" s="612"/>
      <c r="E44" s="612"/>
      <c r="F44" s="612"/>
      <c r="G44" s="612"/>
      <c r="H44" s="612"/>
      <c r="I44" s="612"/>
      <c r="J44" s="611"/>
      <c r="K44" s="619">
        <f t="shared" ref="K44:R44" si="54">K21-J21</f>
        <v>0</v>
      </c>
      <c r="L44" s="619">
        <f t="shared" si="54"/>
        <v>0</v>
      </c>
      <c r="M44" s="619">
        <f t="shared" si="54"/>
        <v>0</v>
      </c>
      <c r="N44" s="619">
        <f t="shared" si="54"/>
        <v>3243591</v>
      </c>
      <c r="O44" s="619">
        <f t="shared" si="54"/>
        <v>-1236667</v>
      </c>
      <c r="P44" s="619">
        <f t="shared" si="54"/>
        <v>-122025</v>
      </c>
      <c r="Q44" s="619">
        <f t="shared" si="54"/>
        <v>640459</v>
      </c>
      <c r="R44" s="619">
        <f t="shared" si="54"/>
        <v>482850</v>
      </c>
      <c r="S44" s="611">
        <f t="shared" si="27"/>
        <v>505071.6</v>
      </c>
      <c r="T44" s="611">
        <f t="shared" si="28"/>
        <v>1621795.5</v>
      </c>
      <c r="U44" s="619">
        <f t="shared" si="21"/>
        <v>6722565</v>
      </c>
      <c r="V44" s="619" t="e">
        <f t="shared" ref="V44:AD44" si="55">V21-U21</f>
        <v>#DIV/0!</v>
      </c>
      <c r="W44" s="619" t="e">
        <f t="shared" si="55"/>
        <v>#DIV/0!</v>
      </c>
      <c r="X44" s="619" t="e">
        <f t="shared" si="55"/>
        <v>#DIV/0!</v>
      </c>
      <c r="Y44" s="619" t="e">
        <f t="shared" si="55"/>
        <v>#DIV/0!</v>
      </c>
      <c r="Z44" s="619" t="e">
        <f t="shared" si="55"/>
        <v>#DIV/0!</v>
      </c>
      <c r="AA44" s="619" t="e">
        <f t="shared" si="55"/>
        <v>#DIV/0!</v>
      </c>
      <c r="AB44" s="619" t="e">
        <f t="shared" si="55"/>
        <v>#DIV/0!</v>
      </c>
      <c r="AC44" s="619" t="e">
        <f t="shared" si="55"/>
        <v>#DIV/0!</v>
      </c>
      <c r="AD44" s="619" t="e">
        <f t="shared" si="55"/>
        <v>#DIV/0!</v>
      </c>
      <c r="AE44" s="603"/>
    </row>
    <row r="45" spans="1:31" outlineLevel="1">
      <c r="A45" s="494" t="s">
        <v>42</v>
      </c>
      <c r="B45" s="612"/>
      <c r="C45" s="612"/>
      <c r="D45" s="612"/>
      <c r="E45" s="612"/>
      <c r="F45" s="612"/>
      <c r="G45" s="612"/>
      <c r="H45" s="612"/>
      <c r="I45" s="612"/>
      <c r="J45" s="611"/>
      <c r="K45" s="619">
        <f t="shared" ref="K45:R45" si="56">K22-J22</f>
        <v>0</v>
      </c>
      <c r="L45" s="619">
        <f t="shared" si="56"/>
        <v>0</v>
      </c>
      <c r="M45" s="619">
        <f t="shared" si="56"/>
        <v>2737000</v>
      </c>
      <c r="N45" s="619">
        <f t="shared" si="56"/>
        <v>1142000</v>
      </c>
      <c r="O45" s="619">
        <f t="shared" si="56"/>
        <v>-2056000</v>
      </c>
      <c r="P45" s="619">
        <f t="shared" si="56"/>
        <v>-154000</v>
      </c>
      <c r="Q45" s="619">
        <f t="shared" si="56"/>
        <v>804714</v>
      </c>
      <c r="R45" s="619">
        <f t="shared" si="56"/>
        <v>-144434</v>
      </c>
      <c r="S45" s="611">
        <f t="shared" si="27"/>
        <v>494742.8</v>
      </c>
      <c r="T45" s="611">
        <f t="shared" si="28"/>
        <v>1939500</v>
      </c>
      <c r="U45" s="619">
        <f t="shared" si="21"/>
        <v>9307720</v>
      </c>
      <c r="V45" s="619" t="e">
        <f t="shared" ref="V45:AD45" si="57">V22-U22</f>
        <v>#DIV/0!</v>
      </c>
      <c r="W45" s="619" t="e">
        <f t="shared" si="57"/>
        <v>#DIV/0!</v>
      </c>
      <c r="X45" s="619" t="e">
        <f t="shared" si="57"/>
        <v>#DIV/0!</v>
      </c>
      <c r="Y45" s="619" t="e">
        <f t="shared" si="57"/>
        <v>#DIV/0!</v>
      </c>
      <c r="Z45" s="619" t="e">
        <f t="shared" si="57"/>
        <v>#DIV/0!</v>
      </c>
      <c r="AA45" s="619" t="e">
        <f t="shared" si="57"/>
        <v>#DIV/0!</v>
      </c>
      <c r="AB45" s="619" t="e">
        <f t="shared" si="57"/>
        <v>#DIV/0!</v>
      </c>
      <c r="AC45" s="619" t="e">
        <f t="shared" si="57"/>
        <v>#DIV/0!</v>
      </c>
      <c r="AD45" s="619" t="e">
        <f t="shared" si="57"/>
        <v>#DIV/0!</v>
      </c>
      <c r="AE45" s="603"/>
    </row>
    <row r="46" spans="1:31" outlineLevel="1">
      <c r="A46" s="494" t="s">
        <v>54</v>
      </c>
      <c r="B46" s="612"/>
      <c r="C46" s="612"/>
      <c r="D46" s="612"/>
      <c r="E46" s="612"/>
      <c r="F46" s="612"/>
      <c r="G46" s="612"/>
      <c r="H46" s="612"/>
      <c r="I46" s="612"/>
      <c r="J46" s="611"/>
      <c r="K46" s="619">
        <f t="shared" ref="K46:R46" si="58">K23-J23</f>
        <v>0</v>
      </c>
      <c r="L46" s="619">
        <f t="shared" si="58"/>
        <v>11649717</v>
      </c>
      <c r="M46" s="619">
        <f t="shared" si="58"/>
        <v>403008</v>
      </c>
      <c r="N46" s="619">
        <f t="shared" si="58"/>
        <v>188015</v>
      </c>
      <c r="O46" s="619">
        <f t="shared" si="58"/>
        <v>-4454779</v>
      </c>
      <c r="P46" s="619">
        <f t="shared" si="58"/>
        <v>9019846</v>
      </c>
      <c r="Q46" s="619">
        <f t="shared" si="58"/>
        <v>4216496</v>
      </c>
      <c r="R46" s="619">
        <f t="shared" si="58"/>
        <v>2538375</v>
      </c>
      <c r="S46" s="611">
        <f t="shared" si="27"/>
        <v>1874517.2</v>
      </c>
      <c r="T46" s="611">
        <f t="shared" si="28"/>
        <v>295511.5</v>
      </c>
      <c r="U46" s="619">
        <f t="shared" si="21"/>
        <v>-10137892</v>
      </c>
      <c r="V46" s="619">
        <f t="shared" ref="V46:AD46" si="59">V23-U23</f>
        <v>336866.14767204411</v>
      </c>
      <c r="W46" s="619">
        <f t="shared" si="59"/>
        <v>-5920621.9545408338</v>
      </c>
      <c r="X46" s="619">
        <f t="shared" si="59"/>
        <v>196732.92136557586</v>
      </c>
      <c r="Y46" s="619">
        <f t="shared" si="59"/>
        <v>201670.24669734295</v>
      </c>
      <c r="Z46" s="619">
        <f t="shared" si="59"/>
        <v>206731.48205526453</v>
      </c>
      <c r="AA46" s="619">
        <f t="shared" si="59"/>
        <v>211919.73715837672</v>
      </c>
      <c r="AB46" s="619">
        <f t="shared" si="59"/>
        <v>217238.19976906106</v>
      </c>
      <c r="AC46" s="619">
        <f t="shared" si="59"/>
        <v>222690.13765165955</v>
      </c>
      <c r="AD46" s="619">
        <f t="shared" si="59"/>
        <v>228278.90058025531</v>
      </c>
      <c r="AE46" s="603"/>
    </row>
    <row r="47" spans="1:31" outlineLevel="1">
      <c r="A47" s="494" t="s">
        <v>438</v>
      </c>
      <c r="B47" s="612"/>
      <c r="C47" s="612"/>
      <c r="D47" s="612"/>
      <c r="E47" s="612"/>
      <c r="F47" s="612"/>
      <c r="G47" s="612"/>
      <c r="H47" s="612"/>
      <c r="I47" s="612"/>
      <c r="J47" s="611"/>
      <c r="K47" s="619">
        <f t="shared" ref="K47:R47" si="60">K24-J24</f>
        <v>0</v>
      </c>
      <c r="L47" s="619">
        <f t="shared" si="60"/>
        <v>0</v>
      </c>
      <c r="M47" s="619">
        <f t="shared" si="60"/>
        <v>0</v>
      </c>
      <c r="N47" s="619">
        <f t="shared" si="60"/>
        <v>0</v>
      </c>
      <c r="O47" s="619">
        <f t="shared" si="60"/>
        <v>0</v>
      </c>
      <c r="P47" s="619">
        <f t="shared" si="60"/>
        <v>0</v>
      </c>
      <c r="Q47" s="619">
        <f t="shared" si="60"/>
        <v>0</v>
      </c>
      <c r="R47" s="619">
        <f t="shared" si="60"/>
        <v>0</v>
      </c>
      <c r="S47" s="611">
        <f t="shared" si="27"/>
        <v>0</v>
      </c>
      <c r="T47" s="611">
        <f t="shared" si="28"/>
        <v>0</v>
      </c>
      <c r="U47" s="619">
        <f t="shared" si="21"/>
        <v>0</v>
      </c>
      <c r="V47" s="619" t="e">
        <f t="shared" ref="V47:AD47" si="61">V24-U24</f>
        <v>#DIV/0!</v>
      </c>
      <c r="W47" s="619" t="e">
        <f t="shared" si="61"/>
        <v>#DIV/0!</v>
      </c>
      <c r="X47" s="619" t="e">
        <f t="shared" si="61"/>
        <v>#DIV/0!</v>
      </c>
      <c r="Y47" s="619" t="e">
        <f t="shared" si="61"/>
        <v>#DIV/0!</v>
      </c>
      <c r="Z47" s="619" t="e">
        <f t="shared" si="61"/>
        <v>#DIV/0!</v>
      </c>
      <c r="AA47" s="619" t="e">
        <f t="shared" si="61"/>
        <v>#DIV/0!</v>
      </c>
      <c r="AB47" s="619" t="e">
        <f t="shared" si="61"/>
        <v>#DIV/0!</v>
      </c>
      <c r="AC47" s="619" t="e">
        <f t="shared" si="61"/>
        <v>#DIV/0!</v>
      </c>
      <c r="AD47" s="619" t="e">
        <f t="shared" si="61"/>
        <v>#DIV/0!</v>
      </c>
      <c r="AE47" s="603"/>
    </row>
    <row r="48" spans="1:31" outlineLevel="1">
      <c r="A48" s="494"/>
      <c r="B48" s="612"/>
      <c r="C48" s="612"/>
      <c r="D48" s="612"/>
      <c r="E48" s="612"/>
      <c r="F48" s="612"/>
      <c r="G48" s="612"/>
      <c r="H48" s="612"/>
      <c r="I48" s="612"/>
      <c r="J48" s="611"/>
      <c r="K48" s="619">
        <f t="shared" ref="K48:R48" si="62">K25-J25</f>
        <v>0</v>
      </c>
      <c r="L48" s="619">
        <f t="shared" si="62"/>
        <v>18151573</v>
      </c>
      <c r="M48" s="619">
        <f t="shared" si="62"/>
        <v>2988064</v>
      </c>
      <c r="N48" s="619">
        <f t="shared" si="62"/>
        <v>4557097</v>
      </c>
      <c r="O48" s="619">
        <f t="shared" si="62"/>
        <v>-9986436</v>
      </c>
      <c r="P48" s="619">
        <f t="shared" si="62"/>
        <v>8479506</v>
      </c>
      <c r="Q48" s="619">
        <f t="shared" si="62"/>
        <v>31746535.710000001</v>
      </c>
      <c r="R48" s="619">
        <f t="shared" si="62"/>
        <v>-20838993.710000001</v>
      </c>
      <c r="S48" s="611">
        <f t="shared" si="27"/>
        <v>7556953.3420000002</v>
      </c>
      <c r="T48" s="611">
        <f t="shared" si="28"/>
        <v>3772580.5</v>
      </c>
      <c r="U48" s="619">
        <f t="shared" si="21"/>
        <v>5545861.9099999964</v>
      </c>
      <c r="V48" s="619" t="e">
        <f t="shared" ref="V48:AD48" si="63">V25-U25</f>
        <v>#DIV/0!</v>
      </c>
      <c r="W48" s="619" t="e">
        <f t="shared" si="63"/>
        <v>#DIV/0!</v>
      </c>
      <c r="X48" s="619" t="e">
        <f t="shared" si="63"/>
        <v>#DIV/0!</v>
      </c>
      <c r="Y48" s="619" t="e">
        <f t="shared" si="63"/>
        <v>#DIV/0!</v>
      </c>
      <c r="Z48" s="619" t="e">
        <f t="shared" si="63"/>
        <v>#DIV/0!</v>
      </c>
      <c r="AA48" s="619" t="e">
        <f t="shared" si="63"/>
        <v>#DIV/0!</v>
      </c>
      <c r="AB48" s="619" t="e">
        <f t="shared" si="63"/>
        <v>#DIV/0!</v>
      </c>
      <c r="AC48" s="619" t="e">
        <f t="shared" si="63"/>
        <v>#DIV/0!</v>
      </c>
      <c r="AD48" s="619" t="e">
        <f t="shared" si="63"/>
        <v>#DIV/0!</v>
      </c>
      <c r="AE48" s="603"/>
    </row>
    <row r="49" spans="1:31" s="633" customFormat="1">
      <c r="A49" s="615" t="s">
        <v>203</v>
      </c>
      <c r="B49" s="615"/>
      <c r="C49" s="615"/>
      <c r="D49" s="615"/>
      <c r="E49" s="615"/>
      <c r="F49" s="615"/>
      <c r="G49" s="615"/>
      <c r="H49" s="615"/>
      <c r="I49" s="615"/>
      <c r="J49" s="617"/>
      <c r="K49" s="617">
        <f t="shared" ref="K49:R49" si="64">SUM(K30:K48)</f>
        <v>0</v>
      </c>
      <c r="L49" s="617">
        <f t="shared" si="64"/>
        <v>36303146</v>
      </c>
      <c r="M49" s="617">
        <f t="shared" si="64"/>
        <v>5976128</v>
      </c>
      <c r="N49" s="617">
        <f t="shared" si="64"/>
        <v>9114194</v>
      </c>
      <c r="O49" s="617">
        <f t="shared" si="64"/>
        <v>-19972872</v>
      </c>
      <c r="P49" s="617">
        <f t="shared" si="64"/>
        <v>16959012</v>
      </c>
      <c r="Q49" s="617">
        <f t="shared" si="64"/>
        <v>63493071.420000002</v>
      </c>
      <c r="R49" s="617">
        <f t="shared" si="64"/>
        <v>-41677987.420000002</v>
      </c>
      <c r="S49" s="618">
        <f>AVERAGE(M49:Q49)</f>
        <v>15113906.684</v>
      </c>
      <c r="T49" s="618">
        <f>AVERAGE(M49:N49)</f>
        <v>7545161</v>
      </c>
      <c r="U49" s="620">
        <f>U25-R25</f>
        <v>5545861.9099999964</v>
      </c>
      <c r="V49" s="620" t="e">
        <f t="shared" ref="V49:AD49" si="65">V25-U25</f>
        <v>#DIV/0!</v>
      </c>
      <c r="W49" s="620" t="e">
        <f t="shared" si="65"/>
        <v>#DIV/0!</v>
      </c>
      <c r="X49" s="620" t="e">
        <f t="shared" si="65"/>
        <v>#DIV/0!</v>
      </c>
      <c r="Y49" s="620" t="e">
        <f t="shared" si="65"/>
        <v>#DIV/0!</v>
      </c>
      <c r="Z49" s="620" t="e">
        <f t="shared" si="65"/>
        <v>#DIV/0!</v>
      </c>
      <c r="AA49" s="620" t="e">
        <f t="shared" si="65"/>
        <v>#DIV/0!</v>
      </c>
      <c r="AB49" s="620" t="e">
        <f t="shared" si="65"/>
        <v>#DIV/0!</v>
      </c>
      <c r="AC49" s="620" t="e">
        <f t="shared" si="65"/>
        <v>#DIV/0!</v>
      </c>
      <c r="AD49" s="620" t="e">
        <f t="shared" si="65"/>
        <v>#DIV/0!</v>
      </c>
      <c r="AE49" s="625"/>
    </row>
    <row r="51" spans="1:31">
      <c r="A51" s="603">
        <v>3</v>
      </c>
      <c r="B51" s="603" t="s">
        <v>264</v>
      </c>
      <c r="C51" s="603"/>
      <c r="D51" s="603"/>
      <c r="E51" s="603"/>
      <c r="F51" s="603"/>
      <c r="G51" s="603"/>
      <c r="H51" s="603"/>
      <c r="I51" s="603"/>
      <c r="J51" s="1923" t="s">
        <v>320</v>
      </c>
      <c r="K51" s="1923"/>
      <c r="L51" s="1923"/>
      <c r="M51" s="1923"/>
      <c r="N51" s="1923"/>
      <c r="O51" s="1923"/>
      <c r="P51" s="1923"/>
      <c r="Q51" s="1923"/>
      <c r="R51" s="604"/>
      <c r="S51" s="604"/>
      <c r="T51" s="603"/>
      <c r="U51" s="603"/>
      <c r="V51" s="603"/>
      <c r="W51" s="603"/>
      <c r="X51" s="603"/>
      <c r="Y51" s="603"/>
      <c r="Z51" s="603"/>
      <c r="AA51" s="603"/>
      <c r="AB51" s="603"/>
      <c r="AC51" s="603"/>
      <c r="AD51" s="603"/>
      <c r="AE51" s="603"/>
    </row>
    <row r="52" spans="1:31">
      <c r="A52" s="603"/>
      <c r="B52" s="603" t="s">
        <v>357</v>
      </c>
      <c r="C52" s="603"/>
      <c r="D52" s="603"/>
      <c r="E52" s="603">
        <v>2010</v>
      </c>
      <c r="F52" s="603">
        <v>2011</v>
      </c>
      <c r="G52" s="603">
        <v>2012</v>
      </c>
      <c r="H52" s="603">
        <v>2013</v>
      </c>
      <c r="I52" s="603">
        <v>2014</v>
      </c>
      <c r="J52" s="494">
        <v>2015</v>
      </c>
      <c r="K52" s="494" t="s">
        <v>303</v>
      </c>
      <c r="L52" s="494" t="s">
        <v>304</v>
      </c>
      <c r="M52" s="494" t="s">
        <v>305</v>
      </c>
      <c r="N52" s="494" t="s">
        <v>306</v>
      </c>
      <c r="O52" s="494" t="s">
        <v>307</v>
      </c>
      <c r="P52" s="494" t="s">
        <v>308</v>
      </c>
      <c r="Q52" s="494" t="s">
        <v>309</v>
      </c>
      <c r="R52" s="494" t="s">
        <v>340</v>
      </c>
      <c r="S52" s="494" t="s">
        <v>153</v>
      </c>
      <c r="T52" s="494" t="s">
        <v>356</v>
      </c>
      <c r="U52" s="494" t="s">
        <v>341</v>
      </c>
      <c r="V52" s="494" t="s">
        <v>342</v>
      </c>
      <c r="W52" s="494" t="s">
        <v>343</v>
      </c>
      <c r="X52" s="494" t="s">
        <v>344</v>
      </c>
      <c r="Y52" s="494" t="s">
        <v>345</v>
      </c>
      <c r="Z52" s="494" t="s">
        <v>346</v>
      </c>
      <c r="AA52" s="494" t="s">
        <v>347</v>
      </c>
      <c r="AB52" s="494" t="s">
        <v>348</v>
      </c>
      <c r="AC52" s="494" t="s">
        <v>349</v>
      </c>
      <c r="AD52" s="494" t="s">
        <v>350</v>
      </c>
      <c r="AE52" s="494" t="s">
        <v>353</v>
      </c>
    </row>
    <row r="53" spans="1:31">
      <c r="A53" s="603" t="s">
        <v>16</v>
      </c>
      <c r="B53" s="605"/>
      <c r="C53" s="605"/>
      <c r="D53" s="605"/>
      <c r="E53" s="621">
        <f t="shared" ref="E53:K53" si="66">E29/D6</f>
        <v>-9.425504093633354E-3</v>
      </c>
      <c r="F53" s="621">
        <f t="shared" si="66"/>
        <v>8.2208229381162568E-2</v>
      </c>
      <c r="G53" s="621">
        <f t="shared" si="66"/>
        <v>-6.9624939790506907E-2</v>
      </c>
      <c r="H53" s="621">
        <f t="shared" si="66"/>
        <v>-4.8722565223998621E-2</v>
      </c>
      <c r="I53" s="621">
        <f t="shared" si="66"/>
        <v>3.04692640317554E-2</v>
      </c>
      <c r="J53" s="621">
        <f t="shared" si="66"/>
        <v>-2.9113764399226437E-3</v>
      </c>
      <c r="K53" s="621">
        <f t="shared" si="66"/>
        <v>-5.5946746497728397E-3</v>
      </c>
      <c r="L53" s="621">
        <f t="shared" ref="L53:R54" si="67">L29/K6</f>
        <v>-1.1247002080324371E-2</v>
      </c>
      <c r="M53" s="621">
        <f t="shared" si="67"/>
        <v>4.6850584694224885E-3</v>
      </c>
      <c r="N53" s="621">
        <f t="shared" si="67"/>
        <v>2.0843059471947371E-2</v>
      </c>
      <c r="O53" s="621">
        <f t="shared" si="67"/>
        <v>-0.25805802509786707</v>
      </c>
      <c r="P53" s="621">
        <f t="shared" si="67"/>
        <v>-8.6132019315776312E-2</v>
      </c>
      <c r="Q53" s="621">
        <f t="shared" si="67"/>
        <v>0.43832358869802163</v>
      </c>
      <c r="R53" s="621">
        <f t="shared" si="67"/>
        <v>9.1597358519451014E-2</v>
      </c>
      <c r="S53" s="622">
        <f t="shared" ref="S53" si="68">AVERAGE(M53:Q53)</f>
        <v>2.3932332445149619E-2</v>
      </c>
      <c r="T53" s="622">
        <f t="shared" ref="T53" si="69">AVERAGE(M53:N53)</f>
        <v>1.276405897068493E-2</v>
      </c>
      <c r="U53" s="623">
        <f t="shared" ref="U53:U72" si="70">U29/R6</f>
        <v>-9.3204509238703145E-4</v>
      </c>
      <c r="V53" s="623">
        <f t="shared" ref="V53" si="71">T53</f>
        <v>1.276405897068493E-2</v>
      </c>
      <c r="W53" s="623">
        <f t="shared" ref="W53:AD54" si="72">V53</f>
        <v>1.276405897068493E-2</v>
      </c>
      <c r="X53" s="623">
        <f t="shared" si="72"/>
        <v>1.276405897068493E-2</v>
      </c>
      <c r="Y53" s="623">
        <f t="shared" si="72"/>
        <v>1.276405897068493E-2</v>
      </c>
      <c r="Z53" s="623">
        <f t="shared" si="72"/>
        <v>1.276405897068493E-2</v>
      </c>
      <c r="AA53" s="623">
        <f t="shared" si="72"/>
        <v>1.276405897068493E-2</v>
      </c>
      <c r="AB53" s="623">
        <f t="shared" si="72"/>
        <v>1.276405897068493E-2</v>
      </c>
      <c r="AC53" s="623">
        <f t="shared" si="72"/>
        <v>1.276405897068493E-2</v>
      </c>
      <c r="AD53" s="623">
        <f t="shared" si="72"/>
        <v>1.276405897068493E-2</v>
      </c>
      <c r="AE53" s="494"/>
    </row>
    <row r="54" spans="1:31">
      <c r="A54" s="494" t="s">
        <v>40</v>
      </c>
      <c r="B54" s="605"/>
      <c r="C54" s="605"/>
      <c r="D54" s="605"/>
      <c r="E54" s="605"/>
      <c r="F54" s="605"/>
      <c r="G54" s="605"/>
      <c r="H54" s="605"/>
      <c r="I54" s="605"/>
      <c r="J54" s="619"/>
      <c r="K54" s="621" t="e">
        <f>K30/#REF!</f>
        <v>#REF!</v>
      </c>
      <c r="L54" s="621" t="e">
        <f t="shared" si="67"/>
        <v>#DIV/0!</v>
      </c>
      <c r="M54" s="621" t="e">
        <f t="shared" si="67"/>
        <v>#DIV/0!</v>
      </c>
      <c r="N54" s="621" t="e">
        <f t="shared" si="67"/>
        <v>#DIV/0!</v>
      </c>
      <c r="O54" s="621" t="e">
        <f t="shared" si="67"/>
        <v>#DIV/0!</v>
      </c>
      <c r="P54" s="621" t="e">
        <f t="shared" si="67"/>
        <v>#DIV/0!</v>
      </c>
      <c r="Q54" s="621" t="e">
        <f t="shared" si="67"/>
        <v>#DIV/0!</v>
      </c>
      <c r="R54" s="621" t="e">
        <f t="shared" si="67"/>
        <v>#DIV/0!</v>
      </c>
      <c r="S54" s="622" t="e">
        <f t="shared" ref="S54" si="73">AVERAGE(M54:Q54)</f>
        <v>#DIV/0!</v>
      </c>
      <c r="T54" s="622" t="e">
        <f t="shared" ref="T54" si="74">AVERAGE(M54:N54)</f>
        <v>#DIV/0!</v>
      </c>
      <c r="U54" s="623" t="e">
        <f t="shared" si="70"/>
        <v>#DIV/0!</v>
      </c>
      <c r="V54" s="623" t="e">
        <f t="shared" ref="V54" si="75">T54</f>
        <v>#DIV/0!</v>
      </c>
      <c r="W54" s="623" t="e">
        <f t="shared" si="72"/>
        <v>#DIV/0!</v>
      </c>
      <c r="X54" s="623" t="e">
        <f t="shared" si="72"/>
        <v>#DIV/0!</v>
      </c>
      <c r="Y54" s="623" t="e">
        <f t="shared" si="72"/>
        <v>#DIV/0!</v>
      </c>
      <c r="Z54" s="623" t="e">
        <f t="shared" si="72"/>
        <v>#DIV/0!</v>
      </c>
      <c r="AA54" s="623" t="e">
        <f t="shared" si="72"/>
        <v>#DIV/0!</v>
      </c>
      <c r="AB54" s="623" t="e">
        <f t="shared" si="72"/>
        <v>#DIV/0!</v>
      </c>
      <c r="AC54" s="623" t="e">
        <f t="shared" si="72"/>
        <v>#DIV/0!</v>
      </c>
      <c r="AD54" s="623" t="e">
        <f t="shared" si="72"/>
        <v>#DIV/0!</v>
      </c>
      <c r="AE54" s="603"/>
    </row>
    <row r="55" spans="1:31">
      <c r="A55" s="494" t="s">
        <v>59</v>
      </c>
      <c r="B55" s="605"/>
      <c r="C55" s="605"/>
      <c r="D55" s="605"/>
      <c r="E55" s="605"/>
      <c r="F55" s="605"/>
      <c r="G55" s="605"/>
      <c r="H55" s="605"/>
      <c r="I55" s="605"/>
      <c r="J55" s="619"/>
      <c r="K55" s="621" t="e">
        <f>K31/#REF!</f>
        <v>#REF!</v>
      </c>
      <c r="L55" s="621" t="e">
        <f t="shared" ref="L55:R55" si="76">L31/K8</f>
        <v>#DIV/0!</v>
      </c>
      <c r="M55" s="621">
        <f t="shared" si="76"/>
        <v>-1.6153846153846154E-2</v>
      </c>
      <c r="N55" s="621">
        <f t="shared" si="76"/>
        <v>6.2548866301798279E-3</v>
      </c>
      <c r="O55" s="621">
        <f t="shared" si="76"/>
        <v>-0.29681429681429683</v>
      </c>
      <c r="P55" s="621">
        <f t="shared" si="76"/>
        <v>-4.5303867403314914E-2</v>
      </c>
      <c r="Q55" s="621">
        <f t="shared" si="76"/>
        <v>0.25347304398148146</v>
      </c>
      <c r="R55" s="621">
        <f t="shared" si="76"/>
        <v>2.1320660076021593E-2</v>
      </c>
      <c r="S55" s="622">
        <f t="shared" ref="S55:S72" si="77">AVERAGE(M55:Q55)</f>
        <v>-1.9708815951959325E-2</v>
      </c>
      <c r="T55" s="622">
        <f t="shared" ref="T55:T72" si="78">AVERAGE(M55:N55)</f>
        <v>-4.9494797618331631E-3</v>
      </c>
      <c r="U55" s="623">
        <f t="shared" si="70"/>
        <v>9.9999999999999239E-3</v>
      </c>
      <c r="V55" s="623">
        <f t="shared" ref="V55:V72" si="79">T55</f>
        <v>-4.9494797618331631E-3</v>
      </c>
      <c r="W55" s="623">
        <f t="shared" ref="W55:AD55" si="80">V55</f>
        <v>-4.9494797618331631E-3</v>
      </c>
      <c r="X55" s="623">
        <f t="shared" si="80"/>
        <v>-4.9494797618331631E-3</v>
      </c>
      <c r="Y55" s="623">
        <f t="shared" si="80"/>
        <v>-4.9494797618331631E-3</v>
      </c>
      <c r="Z55" s="623">
        <f t="shared" si="80"/>
        <v>-4.9494797618331631E-3</v>
      </c>
      <c r="AA55" s="623">
        <f t="shared" si="80"/>
        <v>-4.9494797618331631E-3</v>
      </c>
      <c r="AB55" s="623">
        <f t="shared" si="80"/>
        <v>-4.9494797618331631E-3</v>
      </c>
      <c r="AC55" s="623">
        <f t="shared" si="80"/>
        <v>-4.9494797618331631E-3</v>
      </c>
      <c r="AD55" s="623">
        <f t="shared" si="80"/>
        <v>-4.9494797618331631E-3</v>
      </c>
      <c r="AE55" s="603"/>
    </row>
    <row r="56" spans="1:31">
      <c r="A56" s="494" t="s">
        <v>43</v>
      </c>
      <c r="B56" s="605"/>
      <c r="C56" s="605"/>
      <c r="D56" s="605"/>
      <c r="E56" s="605"/>
      <c r="F56" s="605"/>
      <c r="G56" s="605"/>
      <c r="H56" s="605"/>
      <c r="I56" s="605"/>
      <c r="J56" s="619"/>
      <c r="K56" s="621" t="e">
        <f>K32/#REF!</f>
        <v>#REF!</v>
      </c>
      <c r="L56" s="621" t="e">
        <f t="shared" ref="L56:R56" si="81">L32/K9</f>
        <v>#DIV/0!</v>
      </c>
      <c r="M56" s="621" t="e">
        <f t="shared" si="81"/>
        <v>#DIV/0!</v>
      </c>
      <c r="N56" s="621" t="e">
        <f t="shared" si="81"/>
        <v>#DIV/0!</v>
      </c>
      <c r="O56" s="621" t="e">
        <f t="shared" si="81"/>
        <v>#DIV/0!</v>
      </c>
      <c r="P56" s="621" t="e">
        <f t="shared" si="81"/>
        <v>#DIV/0!</v>
      </c>
      <c r="Q56" s="621" t="e">
        <f t="shared" si="81"/>
        <v>#DIV/0!</v>
      </c>
      <c r="R56" s="621" t="e">
        <f t="shared" si="81"/>
        <v>#DIV/0!</v>
      </c>
      <c r="S56" s="622" t="e">
        <f t="shared" si="77"/>
        <v>#DIV/0!</v>
      </c>
      <c r="T56" s="622" t="e">
        <f t="shared" si="78"/>
        <v>#DIV/0!</v>
      </c>
      <c r="U56" s="623" t="e">
        <f t="shared" si="70"/>
        <v>#DIV/0!</v>
      </c>
      <c r="V56" s="623" t="e">
        <f t="shared" si="79"/>
        <v>#DIV/0!</v>
      </c>
      <c r="W56" s="623" t="e">
        <f t="shared" ref="W56:AD56" si="82">V56</f>
        <v>#DIV/0!</v>
      </c>
      <c r="X56" s="623" t="e">
        <f t="shared" si="82"/>
        <v>#DIV/0!</v>
      </c>
      <c r="Y56" s="623" t="e">
        <f t="shared" si="82"/>
        <v>#DIV/0!</v>
      </c>
      <c r="Z56" s="623" t="e">
        <f t="shared" si="82"/>
        <v>#DIV/0!</v>
      </c>
      <c r="AA56" s="623" t="e">
        <f t="shared" si="82"/>
        <v>#DIV/0!</v>
      </c>
      <c r="AB56" s="623" t="e">
        <f t="shared" si="82"/>
        <v>#DIV/0!</v>
      </c>
      <c r="AC56" s="623" t="e">
        <f t="shared" si="82"/>
        <v>#DIV/0!</v>
      </c>
      <c r="AD56" s="623" t="e">
        <f t="shared" si="82"/>
        <v>#DIV/0!</v>
      </c>
      <c r="AE56" s="603"/>
    </row>
    <row r="57" spans="1:31">
      <c r="A57" s="494" t="s">
        <v>44</v>
      </c>
      <c r="B57" s="605"/>
      <c r="C57" s="605"/>
      <c r="D57" s="605"/>
      <c r="E57" s="605"/>
      <c r="F57" s="605"/>
      <c r="G57" s="605"/>
      <c r="H57" s="605"/>
      <c r="I57" s="605"/>
      <c r="J57" s="619"/>
      <c r="K57" s="621" t="e">
        <f>K33/#REF!</f>
        <v>#REF!</v>
      </c>
      <c r="L57" s="621" t="e">
        <f t="shared" ref="L57:R57" si="83">L33/K10</f>
        <v>#DIV/0!</v>
      </c>
      <c r="M57" s="621" t="e">
        <f t="shared" si="83"/>
        <v>#DIV/0!</v>
      </c>
      <c r="N57" s="621" t="e">
        <f t="shared" si="83"/>
        <v>#DIV/0!</v>
      </c>
      <c r="O57" s="621" t="e">
        <f t="shared" si="83"/>
        <v>#DIV/0!</v>
      </c>
      <c r="P57" s="621" t="e">
        <f t="shared" si="83"/>
        <v>#DIV/0!</v>
      </c>
      <c r="Q57" s="621" t="e">
        <f t="shared" si="83"/>
        <v>#DIV/0!</v>
      </c>
      <c r="R57" s="621" t="e">
        <f t="shared" si="83"/>
        <v>#DIV/0!</v>
      </c>
      <c r="S57" s="622" t="e">
        <f t="shared" si="77"/>
        <v>#DIV/0!</v>
      </c>
      <c r="T57" s="622" t="e">
        <f t="shared" si="78"/>
        <v>#DIV/0!</v>
      </c>
      <c r="U57" s="623" t="e">
        <f t="shared" si="70"/>
        <v>#DIV/0!</v>
      </c>
      <c r="V57" s="623" t="e">
        <f t="shared" si="79"/>
        <v>#DIV/0!</v>
      </c>
      <c r="W57" s="623" t="e">
        <f t="shared" ref="W57:AD57" si="84">V57</f>
        <v>#DIV/0!</v>
      </c>
      <c r="X57" s="623" t="e">
        <f t="shared" si="84"/>
        <v>#DIV/0!</v>
      </c>
      <c r="Y57" s="623" t="e">
        <f t="shared" si="84"/>
        <v>#DIV/0!</v>
      </c>
      <c r="Z57" s="623" t="e">
        <f t="shared" si="84"/>
        <v>#DIV/0!</v>
      </c>
      <c r="AA57" s="623" t="e">
        <f t="shared" si="84"/>
        <v>#DIV/0!</v>
      </c>
      <c r="AB57" s="623" t="e">
        <f t="shared" si="84"/>
        <v>#DIV/0!</v>
      </c>
      <c r="AC57" s="623" t="e">
        <f t="shared" si="84"/>
        <v>#DIV/0!</v>
      </c>
      <c r="AD57" s="623" t="e">
        <f t="shared" si="84"/>
        <v>#DIV/0!</v>
      </c>
      <c r="AE57" s="603"/>
    </row>
    <row r="58" spans="1:31">
      <c r="A58" s="494" t="s">
        <v>57</v>
      </c>
      <c r="B58" s="605"/>
      <c r="C58" s="605"/>
      <c r="D58" s="605"/>
      <c r="E58" s="605"/>
      <c r="F58" s="605"/>
      <c r="G58" s="605"/>
      <c r="H58" s="605"/>
      <c r="I58" s="605"/>
      <c r="J58" s="619"/>
      <c r="K58" s="621" t="e">
        <f>K34/#REF!</f>
        <v>#REF!</v>
      </c>
      <c r="L58" s="621" t="e">
        <f t="shared" ref="L58:R58" si="85">L34/K11</f>
        <v>#DIV/0!</v>
      </c>
      <c r="M58" s="621" t="e">
        <f t="shared" si="85"/>
        <v>#DIV/0!</v>
      </c>
      <c r="N58" s="621" t="e">
        <f t="shared" si="85"/>
        <v>#DIV/0!</v>
      </c>
      <c r="O58" s="621" t="e">
        <f t="shared" si="85"/>
        <v>#DIV/0!</v>
      </c>
      <c r="P58" s="621" t="e">
        <f t="shared" si="85"/>
        <v>#DIV/0!</v>
      </c>
      <c r="Q58" s="621" t="e">
        <f t="shared" si="85"/>
        <v>#DIV/0!</v>
      </c>
      <c r="R58" s="621" t="e">
        <f t="shared" si="85"/>
        <v>#DIV/0!</v>
      </c>
      <c r="S58" s="622" t="e">
        <f t="shared" si="77"/>
        <v>#DIV/0!</v>
      </c>
      <c r="T58" s="622" t="e">
        <f t="shared" si="78"/>
        <v>#DIV/0!</v>
      </c>
      <c r="U58" s="623" t="e">
        <f t="shared" si="70"/>
        <v>#DIV/0!</v>
      </c>
      <c r="V58" s="623" t="e">
        <f t="shared" si="79"/>
        <v>#DIV/0!</v>
      </c>
      <c r="W58" s="623" t="e">
        <f t="shared" ref="W58:AD58" si="86">V58</f>
        <v>#DIV/0!</v>
      </c>
      <c r="X58" s="623" t="e">
        <f t="shared" si="86"/>
        <v>#DIV/0!</v>
      </c>
      <c r="Y58" s="623" t="e">
        <f t="shared" si="86"/>
        <v>#DIV/0!</v>
      </c>
      <c r="Z58" s="623" t="e">
        <f t="shared" si="86"/>
        <v>#DIV/0!</v>
      </c>
      <c r="AA58" s="623" t="e">
        <f t="shared" si="86"/>
        <v>#DIV/0!</v>
      </c>
      <c r="AB58" s="623" t="e">
        <f t="shared" si="86"/>
        <v>#DIV/0!</v>
      </c>
      <c r="AC58" s="623" t="e">
        <f t="shared" si="86"/>
        <v>#DIV/0!</v>
      </c>
      <c r="AD58" s="623" t="e">
        <f t="shared" si="86"/>
        <v>#DIV/0!</v>
      </c>
      <c r="AE58" s="603"/>
    </row>
    <row r="59" spans="1:31">
      <c r="A59" s="494" t="s">
        <v>55</v>
      </c>
      <c r="B59" s="605"/>
      <c r="C59" s="605"/>
      <c r="D59" s="605"/>
      <c r="E59" s="605"/>
      <c r="F59" s="605"/>
      <c r="G59" s="605"/>
      <c r="H59" s="605"/>
      <c r="I59" s="605"/>
      <c r="J59" s="619"/>
      <c r="K59" s="621" t="e">
        <f>K35/#REF!</f>
        <v>#REF!</v>
      </c>
      <c r="L59" s="621" t="e">
        <f t="shared" ref="L59:R59" si="87">L35/K12</f>
        <v>#DIV/0!</v>
      </c>
      <c r="M59" s="621" t="e">
        <f t="shared" si="87"/>
        <v>#DIV/0!</v>
      </c>
      <c r="N59" s="621" t="e">
        <f t="shared" si="87"/>
        <v>#DIV/0!</v>
      </c>
      <c r="O59" s="621" t="e">
        <f t="shared" si="87"/>
        <v>#DIV/0!</v>
      </c>
      <c r="P59" s="621" t="e">
        <f t="shared" si="87"/>
        <v>#DIV/0!</v>
      </c>
      <c r="Q59" s="621" t="e">
        <f t="shared" si="87"/>
        <v>#DIV/0!</v>
      </c>
      <c r="R59" s="621" t="e">
        <f t="shared" si="87"/>
        <v>#DIV/0!</v>
      </c>
      <c r="S59" s="622" t="e">
        <f t="shared" si="77"/>
        <v>#DIV/0!</v>
      </c>
      <c r="T59" s="622" t="e">
        <f t="shared" si="78"/>
        <v>#DIV/0!</v>
      </c>
      <c r="U59" s="623">
        <f t="shared" si="70"/>
        <v>-1</v>
      </c>
      <c r="V59" s="623" t="e">
        <f t="shared" si="79"/>
        <v>#DIV/0!</v>
      </c>
      <c r="W59" s="623" t="e">
        <f t="shared" ref="W59:AD59" si="88">V59</f>
        <v>#DIV/0!</v>
      </c>
      <c r="X59" s="623" t="e">
        <f t="shared" si="88"/>
        <v>#DIV/0!</v>
      </c>
      <c r="Y59" s="623" t="e">
        <f t="shared" si="88"/>
        <v>#DIV/0!</v>
      </c>
      <c r="Z59" s="623" t="e">
        <f t="shared" si="88"/>
        <v>#DIV/0!</v>
      </c>
      <c r="AA59" s="623" t="e">
        <f t="shared" si="88"/>
        <v>#DIV/0!</v>
      </c>
      <c r="AB59" s="623" t="e">
        <f t="shared" si="88"/>
        <v>#DIV/0!</v>
      </c>
      <c r="AC59" s="623" t="e">
        <f t="shared" si="88"/>
        <v>#DIV/0!</v>
      </c>
      <c r="AD59" s="623" t="e">
        <f t="shared" si="88"/>
        <v>#DIV/0!</v>
      </c>
      <c r="AE59" s="603"/>
    </row>
    <row r="60" spans="1:31">
      <c r="A60" s="494" t="s">
        <v>45</v>
      </c>
      <c r="B60" s="605"/>
      <c r="C60" s="605"/>
      <c r="D60" s="605"/>
      <c r="E60" s="605"/>
      <c r="F60" s="605"/>
      <c r="G60" s="605"/>
      <c r="H60" s="605"/>
      <c r="I60" s="605"/>
      <c r="J60" s="619"/>
      <c r="K60" s="621" t="e">
        <f>K36/#REF!</f>
        <v>#REF!</v>
      </c>
      <c r="L60" s="621" t="e">
        <f t="shared" ref="L60:R60" si="89">L36/K13</f>
        <v>#DIV/0!</v>
      </c>
      <c r="M60" s="621" t="e">
        <f t="shared" si="89"/>
        <v>#DIV/0!</v>
      </c>
      <c r="N60" s="621" t="e">
        <f t="shared" si="89"/>
        <v>#DIV/0!</v>
      </c>
      <c r="O60" s="621" t="e">
        <f t="shared" si="89"/>
        <v>#DIV/0!</v>
      </c>
      <c r="P60" s="621" t="e">
        <f t="shared" si="89"/>
        <v>#DIV/0!</v>
      </c>
      <c r="Q60" s="621" t="e">
        <f t="shared" si="89"/>
        <v>#DIV/0!</v>
      </c>
      <c r="R60" s="621">
        <f t="shared" si="89"/>
        <v>-1</v>
      </c>
      <c r="S60" s="622" t="e">
        <f t="shared" si="77"/>
        <v>#DIV/0!</v>
      </c>
      <c r="T60" s="622" t="e">
        <f t="shared" si="78"/>
        <v>#DIV/0!</v>
      </c>
      <c r="U60" s="623" t="e">
        <f t="shared" si="70"/>
        <v>#DIV/0!</v>
      </c>
      <c r="V60" s="623" t="e">
        <f t="shared" si="79"/>
        <v>#DIV/0!</v>
      </c>
      <c r="W60" s="623" t="e">
        <f t="shared" ref="W60:AD60" si="90">V60</f>
        <v>#DIV/0!</v>
      </c>
      <c r="X60" s="623" t="e">
        <f t="shared" si="90"/>
        <v>#DIV/0!</v>
      </c>
      <c r="Y60" s="623" t="e">
        <f t="shared" si="90"/>
        <v>#DIV/0!</v>
      </c>
      <c r="Z60" s="623" t="e">
        <f t="shared" si="90"/>
        <v>#DIV/0!</v>
      </c>
      <c r="AA60" s="623" t="e">
        <f t="shared" si="90"/>
        <v>#DIV/0!</v>
      </c>
      <c r="AB60" s="623" t="e">
        <f t="shared" si="90"/>
        <v>#DIV/0!</v>
      </c>
      <c r="AC60" s="623" t="e">
        <f t="shared" si="90"/>
        <v>#DIV/0!</v>
      </c>
      <c r="AD60" s="623" t="e">
        <f t="shared" si="90"/>
        <v>#DIV/0!</v>
      </c>
      <c r="AE60" s="603"/>
    </row>
    <row r="61" spans="1:31" outlineLevel="1">
      <c r="A61" s="494" t="s">
        <v>48</v>
      </c>
      <c r="B61" s="612"/>
      <c r="C61" s="612"/>
      <c r="D61" s="612"/>
      <c r="E61" s="612"/>
      <c r="F61" s="612"/>
      <c r="G61" s="612"/>
      <c r="H61" s="612"/>
      <c r="I61" s="612"/>
      <c r="J61" s="611"/>
      <c r="K61" s="621" t="e">
        <f>K37/#REF!</f>
        <v>#REF!</v>
      </c>
      <c r="L61" s="621" t="e">
        <f t="shared" ref="L61:R61" si="91">L37/K14</f>
        <v>#DIV/0!</v>
      </c>
      <c r="M61" s="621" t="e">
        <f t="shared" si="91"/>
        <v>#DIV/0!</v>
      </c>
      <c r="N61" s="621" t="e">
        <f t="shared" si="91"/>
        <v>#DIV/0!</v>
      </c>
      <c r="O61" s="621" t="e">
        <f t="shared" si="91"/>
        <v>#DIV/0!</v>
      </c>
      <c r="P61" s="621" t="e">
        <f t="shared" si="91"/>
        <v>#DIV/0!</v>
      </c>
      <c r="Q61" s="621" t="e">
        <f t="shared" si="91"/>
        <v>#DIV/0!</v>
      </c>
      <c r="R61" s="621" t="e">
        <f t="shared" si="91"/>
        <v>#DIV/0!</v>
      </c>
      <c r="S61" s="622" t="e">
        <f t="shared" si="77"/>
        <v>#DIV/0!</v>
      </c>
      <c r="T61" s="622" t="e">
        <f t="shared" si="78"/>
        <v>#DIV/0!</v>
      </c>
      <c r="U61" s="623" t="e">
        <f t="shared" si="70"/>
        <v>#DIV/0!</v>
      </c>
      <c r="V61" s="623" t="e">
        <f t="shared" si="79"/>
        <v>#DIV/0!</v>
      </c>
      <c r="W61" s="623" t="e">
        <f t="shared" ref="W61:AD61" si="92">V61</f>
        <v>#DIV/0!</v>
      </c>
      <c r="X61" s="623" t="e">
        <f t="shared" si="92"/>
        <v>#DIV/0!</v>
      </c>
      <c r="Y61" s="623" t="e">
        <f t="shared" si="92"/>
        <v>#DIV/0!</v>
      </c>
      <c r="Z61" s="623" t="e">
        <f t="shared" si="92"/>
        <v>#DIV/0!</v>
      </c>
      <c r="AA61" s="623" t="e">
        <f t="shared" si="92"/>
        <v>#DIV/0!</v>
      </c>
      <c r="AB61" s="623" t="e">
        <f t="shared" si="92"/>
        <v>#DIV/0!</v>
      </c>
      <c r="AC61" s="623" t="e">
        <f t="shared" si="92"/>
        <v>#DIV/0!</v>
      </c>
      <c r="AD61" s="623" t="e">
        <f t="shared" si="92"/>
        <v>#DIV/0!</v>
      </c>
      <c r="AE61" s="603"/>
    </row>
    <row r="62" spans="1:31" outlineLevel="1">
      <c r="A62" s="494" t="s">
        <v>50</v>
      </c>
      <c r="B62" s="612"/>
      <c r="C62" s="612"/>
      <c r="D62" s="612"/>
      <c r="E62" s="612"/>
      <c r="F62" s="612"/>
      <c r="G62" s="612"/>
      <c r="H62" s="612"/>
      <c r="I62" s="612"/>
      <c r="J62" s="611"/>
      <c r="K62" s="621" t="e">
        <f>K38/#REF!</f>
        <v>#REF!</v>
      </c>
      <c r="L62" s="621" t="e">
        <f t="shared" ref="L62:R62" si="93">L38/K15</f>
        <v>#DIV/0!</v>
      </c>
      <c r="M62" s="621" t="e">
        <f t="shared" si="93"/>
        <v>#DIV/0!</v>
      </c>
      <c r="N62" s="621" t="e">
        <f t="shared" si="93"/>
        <v>#DIV/0!</v>
      </c>
      <c r="O62" s="621" t="e">
        <f t="shared" si="93"/>
        <v>#DIV/0!</v>
      </c>
      <c r="P62" s="621" t="e">
        <f t="shared" si="93"/>
        <v>#DIV/0!</v>
      </c>
      <c r="Q62" s="621" t="e">
        <f t="shared" si="93"/>
        <v>#DIV/0!</v>
      </c>
      <c r="R62" s="621">
        <f t="shared" si="93"/>
        <v>0.18310626702997276</v>
      </c>
      <c r="S62" s="622" t="e">
        <f t="shared" si="77"/>
        <v>#DIV/0!</v>
      </c>
      <c r="T62" s="622" t="e">
        <f t="shared" si="78"/>
        <v>#DIV/0!</v>
      </c>
      <c r="U62" s="623">
        <f t="shared" si="70"/>
        <v>-1</v>
      </c>
      <c r="V62" s="623" t="e">
        <f t="shared" si="79"/>
        <v>#DIV/0!</v>
      </c>
      <c r="W62" s="623" t="e">
        <f t="shared" ref="W62:AD62" si="94">V62</f>
        <v>#DIV/0!</v>
      </c>
      <c r="X62" s="623" t="e">
        <f t="shared" si="94"/>
        <v>#DIV/0!</v>
      </c>
      <c r="Y62" s="623" t="e">
        <f t="shared" si="94"/>
        <v>#DIV/0!</v>
      </c>
      <c r="Z62" s="623" t="e">
        <f t="shared" si="94"/>
        <v>#DIV/0!</v>
      </c>
      <c r="AA62" s="623" t="e">
        <f t="shared" si="94"/>
        <v>#DIV/0!</v>
      </c>
      <c r="AB62" s="623" t="e">
        <f t="shared" si="94"/>
        <v>#DIV/0!</v>
      </c>
      <c r="AC62" s="623" t="e">
        <f t="shared" si="94"/>
        <v>#DIV/0!</v>
      </c>
      <c r="AD62" s="623" t="e">
        <f t="shared" si="94"/>
        <v>#DIV/0!</v>
      </c>
      <c r="AE62" s="603"/>
    </row>
    <row r="63" spans="1:31" outlineLevel="1">
      <c r="A63" s="494" t="s">
        <v>47</v>
      </c>
      <c r="B63" s="612"/>
      <c r="C63" s="612"/>
      <c r="D63" s="612"/>
      <c r="E63" s="612"/>
      <c r="F63" s="612"/>
      <c r="G63" s="612"/>
      <c r="H63" s="612"/>
      <c r="I63" s="612"/>
      <c r="J63" s="611"/>
      <c r="K63" s="621" t="e">
        <f>K39/#REF!</f>
        <v>#REF!</v>
      </c>
      <c r="L63" s="621" t="e">
        <f t="shared" ref="L63:R63" si="95">L39/K16</f>
        <v>#DIV/0!</v>
      </c>
      <c r="M63" s="621" t="e">
        <f t="shared" si="95"/>
        <v>#DIV/0!</v>
      </c>
      <c r="N63" s="621" t="e">
        <f t="shared" si="95"/>
        <v>#DIV/0!</v>
      </c>
      <c r="O63" s="621" t="e">
        <f t="shared" si="95"/>
        <v>#DIV/0!</v>
      </c>
      <c r="P63" s="621" t="e">
        <f t="shared" si="95"/>
        <v>#DIV/0!</v>
      </c>
      <c r="Q63" s="621" t="e">
        <f t="shared" si="95"/>
        <v>#DIV/0!</v>
      </c>
      <c r="R63" s="621" t="e">
        <f t="shared" si="95"/>
        <v>#DIV/0!</v>
      </c>
      <c r="S63" s="622" t="e">
        <f t="shared" si="77"/>
        <v>#DIV/0!</v>
      </c>
      <c r="T63" s="622" t="e">
        <f t="shared" si="78"/>
        <v>#DIV/0!</v>
      </c>
      <c r="U63" s="623" t="e">
        <f t="shared" si="70"/>
        <v>#DIV/0!</v>
      </c>
      <c r="V63" s="623" t="e">
        <f t="shared" si="79"/>
        <v>#DIV/0!</v>
      </c>
      <c r="W63" s="623" t="e">
        <f t="shared" ref="W63:AD63" si="96">V63</f>
        <v>#DIV/0!</v>
      </c>
      <c r="X63" s="623" t="e">
        <f t="shared" si="96"/>
        <v>#DIV/0!</v>
      </c>
      <c r="Y63" s="623" t="e">
        <f t="shared" si="96"/>
        <v>#DIV/0!</v>
      </c>
      <c r="Z63" s="623" t="e">
        <f t="shared" si="96"/>
        <v>#DIV/0!</v>
      </c>
      <c r="AA63" s="623" t="e">
        <f t="shared" si="96"/>
        <v>#DIV/0!</v>
      </c>
      <c r="AB63" s="623" t="e">
        <f t="shared" si="96"/>
        <v>#DIV/0!</v>
      </c>
      <c r="AC63" s="623" t="e">
        <f t="shared" si="96"/>
        <v>#DIV/0!</v>
      </c>
      <c r="AD63" s="623" t="e">
        <f t="shared" si="96"/>
        <v>#DIV/0!</v>
      </c>
      <c r="AE63" s="603"/>
    </row>
    <row r="64" spans="1:31" outlineLevel="1">
      <c r="A64" s="494" t="s">
        <v>52</v>
      </c>
      <c r="B64" s="612"/>
      <c r="C64" s="612"/>
      <c r="D64" s="612"/>
      <c r="E64" s="612"/>
      <c r="F64" s="612"/>
      <c r="G64" s="612"/>
      <c r="H64" s="612"/>
      <c r="I64" s="612"/>
      <c r="J64" s="611"/>
      <c r="K64" s="621" t="e">
        <f>K40/#REF!</f>
        <v>#REF!</v>
      </c>
      <c r="L64" s="621" t="e">
        <f t="shared" ref="L64:R64" si="97">L40/K17</f>
        <v>#DIV/0!</v>
      </c>
      <c r="M64" s="621">
        <f t="shared" si="97"/>
        <v>-3.2665841394745238E-2</v>
      </c>
      <c r="N64" s="621">
        <f t="shared" si="97"/>
        <v>-8.7896690787254844E-3</v>
      </c>
      <c r="O64" s="621">
        <f t="shared" si="97"/>
        <v>-0.35238775244778947</v>
      </c>
      <c r="P64" s="621">
        <f t="shared" si="97"/>
        <v>-4.2407048840627189E-2</v>
      </c>
      <c r="Q64" s="621">
        <f t="shared" si="97"/>
        <v>0.25441394073366375</v>
      </c>
      <c r="R64" s="621">
        <f t="shared" si="97"/>
        <v>-1</v>
      </c>
      <c r="S64" s="622">
        <f t="shared" si="77"/>
        <v>-3.6367274205644728E-2</v>
      </c>
      <c r="T64" s="622">
        <f t="shared" si="78"/>
        <v>-2.0727755236735361E-2</v>
      </c>
      <c r="U64" s="623" t="e">
        <f t="shared" si="70"/>
        <v>#DIV/0!</v>
      </c>
      <c r="V64" s="623">
        <f t="shared" si="79"/>
        <v>-2.0727755236735361E-2</v>
      </c>
      <c r="W64" s="623">
        <f t="shared" ref="W64:AD64" si="98">V64</f>
        <v>-2.0727755236735361E-2</v>
      </c>
      <c r="X64" s="623">
        <f t="shared" si="98"/>
        <v>-2.0727755236735361E-2</v>
      </c>
      <c r="Y64" s="623">
        <f t="shared" si="98"/>
        <v>-2.0727755236735361E-2</v>
      </c>
      <c r="Z64" s="623">
        <f t="shared" si="98"/>
        <v>-2.0727755236735361E-2</v>
      </c>
      <c r="AA64" s="623">
        <f t="shared" si="98"/>
        <v>-2.0727755236735361E-2</v>
      </c>
      <c r="AB64" s="623">
        <f t="shared" si="98"/>
        <v>-2.0727755236735361E-2</v>
      </c>
      <c r="AC64" s="623">
        <f t="shared" si="98"/>
        <v>-2.0727755236735361E-2</v>
      </c>
      <c r="AD64" s="623">
        <f t="shared" si="98"/>
        <v>-2.0727755236735361E-2</v>
      </c>
      <c r="AE64" s="603"/>
    </row>
    <row r="65" spans="1:31" outlineLevel="1">
      <c r="A65" s="494" t="s">
        <v>60</v>
      </c>
      <c r="B65" s="612"/>
      <c r="C65" s="612"/>
      <c r="D65" s="612"/>
      <c r="E65" s="612"/>
      <c r="F65" s="612"/>
      <c r="G65" s="612"/>
      <c r="H65" s="612"/>
      <c r="I65" s="612"/>
      <c r="J65" s="611"/>
      <c r="K65" s="621" t="e">
        <f>K41/#REF!</f>
        <v>#REF!</v>
      </c>
      <c r="L65" s="621" t="e">
        <f t="shared" ref="L65:R65" si="99">L41/K18</f>
        <v>#DIV/0!</v>
      </c>
      <c r="M65" s="621" t="e">
        <f t="shared" si="99"/>
        <v>#DIV/0!</v>
      </c>
      <c r="N65" s="621" t="e">
        <f t="shared" si="99"/>
        <v>#DIV/0!</v>
      </c>
      <c r="O65" s="621" t="e">
        <f t="shared" si="99"/>
        <v>#DIV/0!</v>
      </c>
      <c r="P65" s="621" t="e">
        <f t="shared" si="99"/>
        <v>#DIV/0!</v>
      </c>
      <c r="Q65" s="621" t="e">
        <f t="shared" si="99"/>
        <v>#DIV/0!</v>
      </c>
      <c r="R65" s="621" t="e">
        <f t="shared" si="99"/>
        <v>#DIV/0!</v>
      </c>
      <c r="S65" s="622" t="e">
        <f t="shared" si="77"/>
        <v>#DIV/0!</v>
      </c>
      <c r="T65" s="622" t="e">
        <f t="shared" si="78"/>
        <v>#DIV/0!</v>
      </c>
      <c r="U65" s="623" t="e">
        <f t="shared" si="70"/>
        <v>#DIV/0!</v>
      </c>
      <c r="V65" s="623" t="e">
        <f t="shared" si="79"/>
        <v>#DIV/0!</v>
      </c>
      <c r="W65" s="623" t="e">
        <f t="shared" ref="W65:AD65" si="100">V65</f>
        <v>#DIV/0!</v>
      </c>
      <c r="X65" s="623" t="e">
        <f t="shared" si="100"/>
        <v>#DIV/0!</v>
      </c>
      <c r="Y65" s="623" t="e">
        <f t="shared" si="100"/>
        <v>#DIV/0!</v>
      </c>
      <c r="Z65" s="623" t="e">
        <f t="shared" si="100"/>
        <v>#DIV/0!</v>
      </c>
      <c r="AA65" s="623" t="e">
        <f t="shared" si="100"/>
        <v>#DIV/0!</v>
      </c>
      <c r="AB65" s="623" t="e">
        <f t="shared" si="100"/>
        <v>#DIV/0!</v>
      </c>
      <c r="AC65" s="623" t="e">
        <f t="shared" si="100"/>
        <v>#DIV/0!</v>
      </c>
      <c r="AD65" s="623" t="e">
        <f t="shared" si="100"/>
        <v>#DIV/0!</v>
      </c>
      <c r="AE65" s="603"/>
    </row>
    <row r="66" spans="1:31" outlineLevel="1">
      <c r="A66" s="494" t="s">
        <v>58</v>
      </c>
      <c r="B66" s="612"/>
      <c r="C66" s="612"/>
      <c r="D66" s="612"/>
      <c r="E66" s="612"/>
      <c r="F66" s="612"/>
      <c r="G66" s="612"/>
      <c r="H66" s="612"/>
      <c r="I66" s="612"/>
      <c r="J66" s="611"/>
      <c r="K66" s="621" t="e">
        <f>K42/#REF!</f>
        <v>#REF!</v>
      </c>
      <c r="L66" s="621" t="e">
        <f t="shared" ref="L66:R66" si="101">L42/K19</f>
        <v>#DIV/0!</v>
      </c>
      <c r="M66" s="621">
        <f t="shared" si="101"/>
        <v>-1.3429651632477717E-2</v>
      </c>
      <c r="N66" s="621">
        <f t="shared" si="101"/>
        <v>1.2460457680464043E-3</v>
      </c>
      <c r="O66" s="621">
        <f t="shared" si="101"/>
        <v>-0.39170569764914831</v>
      </c>
      <c r="P66" s="621">
        <f t="shared" si="101"/>
        <v>-0.11473252894492394</v>
      </c>
      <c r="Q66" s="621">
        <f t="shared" si="101"/>
        <v>0.31866838114959423</v>
      </c>
      <c r="R66" s="621">
        <f t="shared" si="101"/>
        <v>-1</v>
      </c>
      <c r="S66" s="622">
        <f t="shared" si="77"/>
        <v>-3.9990690261781869E-2</v>
      </c>
      <c r="T66" s="622">
        <f t="shared" si="78"/>
        <v>-6.0918029322156566E-3</v>
      </c>
      <c r="U66" s="623" t="e">
        <f t="shared" si="70"/>
        <v>#DIV/0!</v>
      </c>
      <c r="V66" s="623">
        <f t="shared" si="79"/>
        <v>-6.0918029322156566E-3</v>
      </c>
      <c r="W66" s="623">
        <f t="shared" ref="W66:AD66" si="102">V66</f>
        <v>-6.0918029322156566E-3</v>
      </c>
      <c r="X66" s="623">
        <f t="shared" si="102"/>
        <v>-6.0918029322156566E-3</v>
      </c>
      <c r="Y66" s="623">
        <f t="shared" si="102"/>
        <v>-6.0918029322156566E-3</v>
      </c>
      <c r="Z66" s="623">
        <f t="shared" si="102"/>
        <v>-6.0918029322156566E-3</v>
      </c>
      <c r="AA66" s="623">
        <f t="shared" si="102"/>
        <v>-6.0918029322156566E-3</v>
      </c>
      <c r="AB66" s="623">
        <f t="shared" si="102"/>
        <v>-6.0918029322156566E-3</v>
      </c>
      <c r="AC66" s="623">
        <f t="shared" si="102"/>
        <v>-6.0918029322156566E-3</v>
      </c>
      <c r="AD66" s="623">
        <f t="shared" si="102"/>
        <v>-6.0918029322156566E-3</v>
      </c>
      <c r="AE66" s="603"/>
    </row>
    <row r="67" spans="1:31" outlineLevel="1">
      <c r="A67" s="494" t="s">
        <v>49</v>
      </c>
      <c r="B67" s="612"/>
      <c r="C67" s="612"/>
      <c r="D67" s="612"/>
      <c r="E67" s="612"/>
      <c r="F67" s="612"/>
      <c r="G67" s="612"/>
      <c r="H67" s="612"/>
      <c r="I67" s="612"/>
      <c r="J67" s="611"/>
      <c r="K67" s="621" t="e">
        <f>K43/#REF!</f>
        <v>#REF!</v>
      </c>
      <c r="L67" s="621" t="e">
        <f t="shared" ref="L67:R67" si="103">L43/K20</f>
        <v>#DIV/0!</v>
      </c>
      <c r="M67" s="621" t="e">
        <f t="shared" si="103"/>
        <v>#DIV/0!</v>
      </c>
      <c r="N67" s="621" t="e">
        <f t="shared" si="103"/>
        <v>#DIV/0!</v>
      </c>
      <c r="O67" s="621" t="e">
        <f t="shared" si="103"/>
        <v>#DIV/0!</v>
      </c>
      <c r="P67" s="621" t="e">
        <f t="shared" si="103"/>
        <v>#DIV/0!</v>
      </c>
      <c r="Q67" s="621" t="e">
        <f t="shared" si="103"/>
        <v>#DIV/0!</v>
      </c>
      <c r="R67" s="621" t="e">
        <f t="shared" si="103"/>
        <v>#DIV/0!</v>
      </c>
      <c r="S67" s="622" t="e">
        <f t="shared" si="77"/>
        <v>#DIV/0!</v>
      </c>
      <c r="T67" s="622" t="e">
        <f t="shared" si="78"/>
        <v>#DIV/0!</v>
      </c>
      <c r="U67" s="623" t="e">
        <f t="shared" si="70"/>
        <v>#DIV/0!</v>
      </c>
      <c r="V67" s="623" t="e">
        <f t="shared" si="79"/>
        <v>#DIV/0!</v>
      </c>
      <c r="W67" s="623" t="e">
        <f t="shared" ref="W67:AD67" si="104">V67</f>
        <v>#DIV/0!</v>
      </c>
      <c r="X67" s="623" t="e">
        <f t="shared" si="104"/>
        <v>#DIV/0!</v>
      </c>
      <c r="Y67" s="623" t="e">
        <f t="shared" si="104"/>
        <v>#DIV/0!</v>
      </c>
      <c r="Z67" s="623" t="e">
        <f t="shared" si="104"/>
        <v>#DIV/0!</v>
      </c>
      <c r="AA67" s="623" t="e">
        <f t="shared" si="104"/>
        <v>#DIV/0!</v>
      </c>
      <c r="AB67" s="623" t="e">
        <f t="shared" si="104"/>
        <v>#DIV/0!</v>
      </c>
      <c r="AC67" s="623" t="e">
        <f t="shared" si="104"/>
        <v>#DIV/0!</v>
      </c>
      <c r="AD67" s="623" t="e">
        <f t="shared" si="104"/>
        <v>#DIV/0!</v>
      </c>
      <c r="AE67" s="603"/>
    </row>
    <row r="68" spans="1:31" outlineLevel="1">
      <c r="A68" s="494" t="s">
        <v>53</v>
      </c>
      <c r="B68" s="612"/>
      <c r="C68" s="612"/>
      <c r="D68" s="612"/>
      <c r="E68" s="612"/>
      <c r="F68" s="612"/>
      <c r="G68" s="612"/>
      <c r="H68" s="612"/>
      <c r="I68" s="612"/>
      <c r="J68" s="611"/>
      <c r="K68" s="621" t="e">
        <f>K44/#REF!</f>
        <v>#REF!</v>
      </c>
      <c r="L68" s="621" t="e">
        <f t="shared" ref="L68:R68" si="105">L44/K21</f>
        <v>#DIV/0!</v>
      </c>
      <c r="M68" s="621" t="e">
        <f t="shared" si="105"/>
        <v>#DIV/0!</v>
      </c>
      <c r="N68" s="621" t="e">
        <f t="shared" si="105"/>
        <v>#DIV/0!</v>
      </c>
      <c r="O68" s="621">
        <f t="shared" si="105"/>
        <v>-0.38126477721759616</v>
      </c>
      <c r="P68" s="621">
        <f t="shared" si="105"/>
        <v>-6.0802003464007603E-2</v>
      </c>
      <c r="Q68" s="621">
        <f t="shared" si="105"/>
        <v>0.33978425369210763</v>
      </c>
      <c r="R68" s="621">
        <f t="shared" si="105"/>
        <v>0.19120061393275725</v>
      </c>
      <c r="S68" s="622" t="e">
        <f t="shared" si="77"/>
        <v>#DIV/0!</v>
      </c>
      <c r="T68" s="622" t="e">
        <f t="shared" si="78"/>
        <v>#DIV/0!</v>
      </c>
      <c r="U68" s="623">
        <f t="shared" si="70"/>
        <v>2.2347407493098883</v>
      </c>
      <c r="V68" s="623" t="e">
        <f t="shared" si="79"/>
        <v>#DIV/0!</v>
      </c>
      <c r="W68" s="623" t="e">
        <f t="shared" ref="W68:AD68" si="106">V68</f>
        <v>#DIV/0!</v>
      </c>
      <c r="X68" s="623" t="e">
        <f t="shared" si="106"/>
        <v>#DIV/0!</v>
      </c>
      <c r="Y68" s="623" t="e">
        <f t="shared" si="106"/>
        <v>#DIV/0!</v>
      </c>
      <c r="Z68" s="623" t="e">
        <f t="shared" si="106"/>
        <v>#DIV/0!</v>
      </c>
      <c r="AA68" s="623" t="e">
        <f t="shared" si="106"/>
        <v>#DIV/0!</v>
      </c>
      <c r="AB68" s="623" t="e">
        <f t="shared" si="106"/>
        <v>#DIV/0!</v>
      </c>
      <c r="AC68" s="623" t="e">
        <f t="shared" si="106"/>
        <v>#DIV/0!</v>
      </c>
      <c r="AD68" s="623" t="e">
        <f t="shared" si="106"/>
        <v>#DIV/0!</v>
      </c>
      <c r="AE68" s="603"/>
    </row>
    <row r="69" spans="1:31" outlineLevel="1">
      <c r="A69" s="494" t="s">
        <v>42</v>
      </c>
      <c r="B69" s="612"/>
      <c r="C69" s="612"/>
      <c r="D69" s="612"/>
      <c r="E69" s="612"/>
      <c r="F69" s="612"/>
      <c r="G69" s="612"/>
      <c r="H69" s="612"/>
      <c r="I69" s="612"/>
      <c r="J69" s="611"/>
      <c r="K69" s="621" t="e">
        <f>K45/#REF!</f>
        <v>#REF!</v>
      </c>
      <c r="L69" s="621" t="e">
        <f t="shared" ref="L69:R69" si="107">L45/K22</f>
        <v>#DIV/0!</v>
      </c>
      <c r="M69" s="621" t="e">
        <f t="shared" si="107"/>
        <v>#DIV/0!</v>
      </c>
      <c r="N69" s="621">
        <f t="shared" si="107"/>
        <v>0.41724515893313846</v>
      </c>
      <c r="O69" s="621">
        <f t="shared" si="107"/>
        <v>-0.53003351379221453</v>
      </c>
      <c r="P69" s="621">
        <f t="shared" si="107"/>
        <v>-8.4476138233680748E-2</v>
      </c>
      <c r="Q69" s="621">
        <f t="shared" si="107"/>
        <v>0.48215338526063511</v>
      </c>
      <c r="R69" s="621">
        <f t="shared" si="107"/>
        <v>-5.8387509631266994E-2</v>
      </c>
      <c r="S69" s="622" t="e">
        <f t="shared" si="77"/>
        <v>#DIV/0!</v>
      </c>
      <c r="T69" s="622" t="e">
        <f t="shared" si="78"/>
        <v>#DIV/0!</v>
      </c>
      <c r="U69" s="623">
        <f t="shared" si="70"/>
        <v>3.9959644181893119</v>
      </c>
      <c r="V69" s="623" t="e">
        <f t="shared" si="79"/>
        <v>#DIV/0!</v>
      </c>
      <c r="W69" s="623" t="e">
        <f t="shared" ref="W69:AD69" si="108">V69</f>
        <v>#DIV/0!</v>
      </c>
      <c r="X69" s="623" t="e">
        <f t="shared" si="108"/>
        <v>#DIV/0!</v>
      </c>
      <c r="Y69" s="623" t="e">
        <f t="shared" si="108"/>
        <v>#DIV/0!</v>
      </c>
      <c r="Z69" s="623" t="e">
        <f t="shared" si="108"/>
        <v>#DIV/0!</v>
      </c>
      <c r="AA69" s="623" t="e">
        <f t="shared" si="108"/>
        <v>#DIV/0!</v>
      </c>
      <c r="AB69" s="623" t="e">
        <f t="shared" si="108"/>
        <v>#DIV/0!</v>
      </c>
      <c r="AC69" s="623" t="e">
        <f t="shared" si="108"/>
        <v>#DIV/0!</v>
      </c>
      <c r="AD69" s="623" t="e">
        <f t="shared" si="108"/>
        <v>#DIV/0!</v>
      </c>
      <c r="AE69" s="603"/>
    </row>
    <row r="70" spans="1:31" outlineLevel="1">
      <c r="A70" s="494" t="s">
        <v>54</v>
      </c>
      <c r="B70" s="612"/>
      <c r="C70" s="612"/>
      <c r="D70" s="612"/>
      <c r="E70" s="612"/>
      <c r="F70" s="612"/>
      <c r="G70" s="612"/>
      <c r="H70" s="612"/>
      <c r="I70" s="612"/>
      <c r="J70" s="611"/>
      <c r="K70" s="621" t="e">
        <f>K46/#REF!</f>
        <v>#REF!</v>
      </c>
      <c r="L70" s="621" t="e">
        <f t="shared" ref="L70:R70" si="109">L46/K23</f>
        <v>#DIV/0!</v>
      </c>
      <c r="M70" s="621">
        <f t="shared" si="109"/>
        <v>3.4593801720676991E-2</v>
      </c>
      <c r="N70" s="621">
        <f t="shared" si="109"/>
        <v>1.5599376904392989E-2</v>
      </c>
      <c r="O70" s="621">
        <f t="shared" si="109"/>
        <v>-0.36393053034375372</v>
      </c>
      <c r="P70" s="621">
        <f t="shared" si="109"/>
        <v>1.1584756204147439</v>
      </c>
      <c r="Q70" s="621">
        <f t="shared" si="109"/>
        <v>0.25089518164762931</v>
      </c>
      <c r="R70" s="621">
        <f t="shared" si="109"/>
        <v>0.12074676118977069</v>
      </c>
      <c r="S70" s="622">
        <f t="shared" si="77"/>
        <v>0.21912669006873792</v>
      </c>
      <c r="T70" s="622">
        <f t="shared" si="78"/>
        <v>2.509658931253499E-2</v>
      </c>
      <c r="U70" s="623">
        <f t="shared" si="70"/>
        <v>-0.43028863600614548</v>
      </c>
      <c r="V70" s="623">
        <f t="shared" si="79"/>
        <v>2.509658931253499E-2</v>
      </c>
      <c r="W70" s="623">
        <f t="shared" ref="W70:AD70" si="110">V70</f>
        <v>2.509658931253499E-2</v>
      </c>
      <c r="X70" s="623">
        <f t="shared" si="110"/>
        <v>2.509658931253499E-2</v>
      </c>
      <c r="Y70" s="623">
        <f t="shared" si="110"/>
        <v>2.509658931253499E-2</v>
      </c>
      <c r="Z70" s="623">
        <f t="shared" si="110"/>
        <v>2.509658931253499E-2</v>
      </c>
      <c r="AA70" s="623">
        <f t="shared" si="110"/>
        <v>2.509658931253499E-2</v>
      </c>
      <c r="AB70" s="623">
        <f t="shared" si="110"/>
        <v>2.509658931253499E-2</v>
      </c>
      <c r="AC70" s="623">
        <f t="shared" si="110"/>
        <v>2.509658931253499E-2</v>
      </c>
      <c r="AD70" s="623">
        <f t="shared" si="110"/>
        <v>2.509658931253499E-2</v>
      </c>
      <c r="AE70" s="603"/>
    </row>
    <row r="71" spans="1:31" outlineLevel="1">
      <c r="A71" s="494" t="s">
        <v>438</v>
      </c>
      <c r="B71" s="612"/>
      <c r="C71" s="612"/>
      <c r="D71" s="612"/>
      <c r="E71" s="612"/>
      <c r="F71" s="612"/>
      <c r="G71" s="612"/>
      <c r="H71" s="612"/>
      <c r="I71" s="612"/>
      <c r="J71" s="611"/>
      <c r="K71" s="621" t="e">
        <f>K47/#REF!</f>
        <v>#REF!</v>
      </c>
      <c r="L71" s="621" t="e">
        <f t="shared" ref="L71:R71" si="111">L47/K24</f>
        <v>#DIV/0!</v>
      </c>
      <c r="M71" s="621" t="e">
        <f t="shared" si="111"/>
        <v>#DIV/0!</v>
      </c>
      <c r="N71" s="621" t="e">
        <f t="shared" si="111"/>
        <v>#DIV/0!</v>
      </c>
      <c r="O71" s="621" t="e">
        <f t="shared" si="111"/>
        <v>#DIV/0!</v>
      </c>
      <c r="P71" s="621" t="e">
        <f t="shared" si="111"/>
        <v>#DIV/0!</v>
      </c>
      <c r="Q71" s="621" t="e">
        <f t="shared" si="111"/>
        <v>#DIV/0!</v>
      </c>
      <c r="R71" s="621" t="e">
        <f t="shared" si="111"/>
        <v>#DIV/0!</v>
      </c>
      <c r="S71" s="622" t="e">
        <f t="shared" si="77"/>
        <v>#DIV/0!</v>
      </c>
      <c r="T71" s="622" t="e">
        <f t="shared" si="78"/>
        <v>#DIV/0!</v>
      </c>
      <c r="U71" s="623" t="e">
        <f t="shared" si="70"/>
        <v>#DIV/0!</v>
      </c>
      <c r="V71" s="623" t="e">
        <f t="shared" si="79"/>
        <v>#DIV/0!</v>
      </c>
      <c r="W71" s="623" t="e">
        <f t="shared" ref="W71:AD71" si="112">V71</f>
        <v>#DIV/0!</v>
      </c>
      <c r="X71" s="623" t="e">
        <f t="shared" si="112"/>
        <v>#DIV/0!</v>
      </c>
      <c r="Y71" s="623" t="e">
        <f t="shared" si="112"/>
        <v>#DIV/0!</v>
      </c>
      <c r="Z71" s="623" t="e">
        <f t="shared" si="112"/>
        <v>#DIV/0!</v>
      </c>
      <c r="AA71" s="623" t="e">
        <f t="shared" si="112"/>
        <v>#DIV/0!</v>
      </c>
      <c r="AB71" s="623" t="e">
        <f t="shared" si="112"/>
        <v>#DIV/0!</v>
      </c>
      <c r="AC71" s="623" t="e">
        <f t="shared" si="112"/>
        <v>#DIV/0!</v>
      </c>
      <c r="AD71" s="623" t="e">
        <f t="shared" si="112"/>
        <v>#DIV/0!</v>
      </c>
      <c r="AE71" s="603"/>
    </row>
    <row r="72" spans="1:31" outlineLevel="1">
      <c r="A72" s="494"/>
      <c r="B72" s="612"/>
      <c r="C72" s="612"/>
      <c r="D72" s="612"/>
      <c r="E72" s="612"/>
      <c r="F72" s="612"/>
      <c r="G72" s="612"/>
      <c r="H72" s="612"/>
      <c r="I72" s="612"/>
      <c r="J72" s="611"/>
      <c r="K72" s="621" t="e">
        <f>K48/#REF!</f>
        <v>#REF!</v>
      </c>
      <c r="L72" s="621" t="e">
        <f t="shared" ref="L72:R72" si="113">L48/K25</f>
        <v>#DIV/0!</v>
      </c>
      <c r="M72" s="621">
        <f t="shared" si="113"/>
        <v>0.16461735850661538</v>
      </c>
      <c r="N72" s="621">
        <f t="shared" si="113"/>
        <v>0.2155712039899266</v>
      </c>
      <c r="O72" s="621">
        <f t="shared" si="113"/>
        <v>-0.38862666360635556</v>
      </c>
      <c r="P72" s="621">
        <f t="shared" si="113"/>
        <v>0.53974189413848161</v>
      </c>
      <c r="Q72" s="621">
        <f t="shared" si="113"/>
        <v>1.3123932591599337</v>
      </c>
      <c r="R72" s="621">
        <f t="shared" si="113"/>
        <v>-0.37254839730377487</v>
      </c>
      <c r="S72" s="622">
        <f t="shared" si="77"/>
        <v>0.36873941043772029</v>
      </c>
      <c r="T72" s="622">
        <f t="shared" si="78"/>
        <v>0.19009428124827099</v>
      </c>
      <c r="U72" s="623">
        <f t="shared" si="70"/>
        <v>0.158013711635062</v>
      </c>
      <c r="V72" s="623">
        <f t="shared" si="79"/>
        <v>0.19009428124827099</v>
      </c>
      <c r="W72" s="623">
        <f t="shared" ref="W72:AD72" si="114">V72</f>
        <v>0.19009428124827099</v>
      </c>
      <c r="X72" s="623">
        <f t="shared" si="114"/>
        <v>0.19009428124827099</v>
      </c>
      <c r="Y72" s="623">
        <f t="shared" si="114"/>
        <v>0.19009428124827099</v>
      </c>
      <c r="Z72" s="623">
        <f t="shared" si="114"/>
        <v>0.19009428124827099</v>
      </c>
      <c r="AA72" s="623">
        <f t="shared" si="114"/>
        <v>0.19009428124827099</v>
      </c>
      <c r="AB72" s="623">
        <f t="shared" si="114"/>
        <v>0.19009428124827099</v>
      </c>
      <c r="AC72" s="623">
        <f t="shared" si="114"/>
        <v>0.19009428124827099</v>
      </c>
      <c r="AD72" s="623">
        <f t="shared" si="114"/>
        <v>0.19009428124827099</v>
      </c>
      <c r="AE72" s="603"/>
    </row>
    <row r="73" spans="1:31" s="633" customFormat="1">
      <c r="A73" s="615" t="s">
        <v>203</v>
      </c>
      <c r="B73" s="615"/>
      <c r="C73" s="615"/>
      <c r="D73" s="615"/>
      <c r="E73" s="615"/>
      <c r="F73" s="615"/>
      <c r="G73" s="615"/>
      <c r="H73" s="615"/>
      <c r="I73" s="615"/>
      <c r="J73" s="617"/>
      <c r="K73" s="624" t="e">
        <f>K49/#REF!</f>
        <v>#REF!</v>
      </c>
      <c r="L73" s="624" t="e">
        <f t="shared" ref="L73:R73" si="115">L49/K25</f>
        <v>#DIV/0!</v>
      </c>
      <c r="M73" s="624">
        <f t="shared" si="115"/>
        <v>0.32923471701323076</v>
      </c>
      <c r="N73" s="624">
        <f t="shared" si="115"/>
        <v>0.4311424079798532</v>
      </c>
      <c r="O73" s="624">
        <f t="shared" si="115"/>
        <v>-0.77725332721271112</v>
      </c>
      <c r="P73" s="624">
        <f t="shared" si="115"/>
        <v>1.0794837882769632</v>
      </c>
      <c r="Q73" s="624">
        <f t="shared" si="115"/>
        <v>2.6247865183198673</v>
      </c>
      <c r="R73" s="624">
        <f t="shared" si="115"/>
        <v>-0.74509679460754974</v>
      </c>
      <c r="S73" s="622">
        <f>AVERAGE(M73:Q73)</f>
        <v>0.73747882087544059</v>
      </c>
      <c r="T73" s="622">
        <f>AVERAGE(M73:N73)</f>
        <v>0.38018856249654198</v>
      </c>
      <c r="U73" s="623">
        <f>U49/R25</f>
        <v>0.158013711635062</v>
      </c>
      <c r="V73" s="623">
        <f>T73</f>
        <v>0.38018856249654198</v>
      </c>
      <c r="W73" s="623">
        <f t="shared" ref="W73:AD73" si="116">V73</f>
        <v>0.38018856249654198</v>
      </c>
      <c r="X73" s="623">
        <f t="shared" si="116"/>
        <v>0.38018856249654198</v>
      </c>
      <c r="Y73" s="623">
        <f t="shared" si="116"/>
        <v>0.38018856249654198</v>
      </c>
      <c r="Z73" s="623">
        <f t="shared" si="116"/>
        <v>0.38018856249654198</v>
      </c>
      <c r="AA73" s="623">
        <f t="shared" si="116"/>
        <v>0.38018856249654198</v>
      </c>
      <c r="AB73" s="623">
        <f t="shared" si="116"/>
        <v>0.38018856249654198</v>
      </c>
      <c r="AC73" s="623">
        <f t="shared" si="116"/>
        <v>0.38018856249654198</v>
      </c>
      <c r="AD73" s="623">
        <f t="shared" si="116"/>
        <v>0.38018856249654198</v>
      </c>
      <c r="AE73" s="625"/>
    </row>
    <row r="75" spans="1:31">
      <c r="A75" s="623" t="s">
        <v>934</v>
      </c>
      <c r="B75" s="603"/>
      <c r="C75" s="603" t="s">
        <v>935</v>
      </c>
    </row>
    <row r="76" spans="1:31">
      <c r="A76" s="603"/>
      <c r="B76" s="603"/>
      <c r="C76" s="654">
        <f>AVERAGE(E53:N53)</f>
        <v>-9.3204509238709043E-4</v>
      </c>
    </row>
    <row r="78" spans="1:31">
      <c r="A78" s="642" t="s">
        <v>996</v>
      </c>
    </row>
    <row r="79" spans="1:31" ht="61.5" customHeight="1">
      <c r="A79" s="1924" t="s">
        <v>1141</v>
      </c>
      <c r="B79" s="1925"/>
      <c r="C79" s="1925"/>
      <c r="D79" s="1925"/>
      <c r="E79" s="1925"/>
      <c r="F79" s="1925"/>
      <c r="G79" s="1925"/>
      <c r="H79" s="1925"/>
      <c r="I79" s="1925"/>
    </row>
  </sheetData>
  <mergeCells count="3">
    <mergeCell ref="J27:Q27"/>
    <mergeCell ref="J51:Q51"/>
    <mergeCell ref="A79:I79"/>
  </mergeCells>
  <pageMargins left="0.75" right="0.75" top="1" bottom="1" header="0.5" footer="0.5"/>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topLeftCell="A12" workbookViewId="0">
      <selection activeCell="G35" sqref="G35"/>
    </sheetView>
  </sheetViews>
  <sheetFormatPr defaultRowHeight="15"/>
  <cols>
    <col min="1" max="1" width="67.42578125" customWidth="1"/>
  </cols>
  <sheetData>
    <row r="1" spans="1:4">
      <c r="A1" s="1754" t="s">
        <v>1865</v>
      </c>
      <c r="B1" s="1755" t="s">
        <v>680</v>
      </c>
      <c r="C1" s="1755" t="s">
        <v>681</v>
      </c>
      <c r="D1" s="1755"/>
    </row>
    <row r="2" spans="1:4">
      <c r="A2" s="1756" t="s">
        <v>1866</v>
      </c>
      <c r="B2" s="1757"/>
      <c r="C2" s="1757"/>
      <c r="D2" s="1758"/>
    </row>
    <row r="3" spans="1:4">
      <c r="A3" s="1759" t="s">
        <v>1867</v>
      </c>
      <c r="B3" s="1760">
        <v>1</v>
      </c>
      <c r="C3" s="1760">
        <v>2</v>
      </c>
      <c r="D3" s="1760">
        <v>3</v>
      </c>
    </row>
    <row r="4" spans="1:4">
      <c r="A4" s="1759" t="s">
        <v>1868</v>
      </c>
      <c r="B4" s="1760">
        <v>1</v>
      </c>
      <c r="C4" s="1760">
        <v>2</v>
      </c>
      <c r="D4" s="1760">
        <v>3</v>
      </c>
    </row>
    <row r="5" spans="1:4">
      <c r="A5" s="1759" t="s">
        <v>1869</v>
      </c>
      <c r="B5" s="1760">
        <v>1</v>
      </c>
      <c r="C5" s="1760">
        <v>2</v>
      </c>
      <c r="D5" s="1760">
        <v>3</v>
      </c>
    </row>
    <row r="6" spans="1:4">
      <c r="A6" s="1759" t="s">
        <v>1870</v>
      </c>
      <c r="B6" s="1760">
        <v>1</v>
      </c>
      <c r="C6" s="1760">
        <v>2</v>
      </c>
      <c r="D6" s="1760">
        <v>3</v>
      </c>
    </row>
    <row r="7" spans="1:4">
      <c r="A7" s="1759" t="s">
        <v>1871</v>
      </c>
      <c r="B7" s="1760">
        <v>1</v>
      </c>
      <c r="C7" s="1760">
        <v>2</v>
      </c>
      <c r="D7" s="1760">
        <v>3</v>
      </c>
    </row>
    <row r="8" spans="1:4">
      <c r="A8" s="1759" t="s">
        <v>1872</v>
      </c>
      <c r="B8" s="1760">
        <v>1</v>
      </c>
      <c r="C8" s="1760">
        <v>2</v>
      </c>
      <c r="D8" s="1760">
        <v>3</v>
      </c>
    </row>
    <row r="9" spans="1:4" ht="15.75" thickBot="1">
      <c r="A9" s="1761" t="s">
        <v>1873</v>
      </c>
      <c r="B9" s="1762">
        <v>1</v>
      </c>
      <c r="C9" s="1762">
        <v>2</v>
      </c>
      <c r="D9" s="1760">
        <v>3</v>
      </c>
    </row>
    <row r="10" spans="1:4">
      <c r="A10" s="1756" t="s">
        <v>1874</v>
      </c>
      <c r="B10" s="1763"/>
      <c r="C10" s="1763"/>
      <c r="D10" s="1758"/>
    </row>
    <row r="11" spans="1:4">
      <c r="A11" s="1759" t="s">
        <v>1875</v>
      </c>
      <c r="B11" s="1760">
        <v>1</v>
      </c>
      <c r="C11" s="1760">
        <v>3</v>
      </c>
      <c r="D11" s="1760">
        <v>3</v>
      </c>
    </row>
    <row r="12" spans="1:4">
      <c r="A12" s="1759" t="s">
        <v>1876</v>
      </c>
      <c r="B12" s="1760">
        <v>1</v>
      </c>
      <c r="C12" s="1760">
        <v>2</v>
      </c>
      <c r="D12" s="1760">
        <v>3</v>
      </c>
    </row>
    <row r="13" spans="1:4">
      <c r="A13" s="1759" t="s">
        <v>1877</v>
      </c>
      <c r="B13" s="1760">
        <v>1</v>
      </c>
      <c r="C13" s="1760">
        <v>2</v>
      </c>
      <c r="D13" s="1760">
        <v>3</v>
      </c>
    </row>
    <row r="14" spans="1:4">
      <c r="A14" s="1759" t="s">
        <v>1878</v>
      </c>
      <c r="B14" s="1760">
        <v>1</v>
      </c>
      <c r="C14" s="1760">
        <v>2</v>
      </c>
      <c r="D14" s="1760">
        <v>3</v>
      </c>
    </row>
    <row r="15" spans="1:4">
      <c r="A15" s="1759" t="s">
        <v>1879</v>
      </c>
      <c r="B15" s="1760">
        <v>2</v>
      </c>
      <c r="C15" s="1760">
        <v>3</v>
      </c>
      <c r="D15" s="1760">
        <v>3</v>
      </c>
    </row>
    <row r="16" spans="1:4">
      <c r="A16" s="1759" t="s">
        <v>1880</v>
      </c>
      <c r="B16" s="1760">
        <v>2</v>
      </c>
      <c r="C16" s="1760">
        <v>3</v>
      </c>
      <c r="D16" s="1760">
        <v>2</v>
      </c>
    </row>
    <row r="17" spans="1:7">
      <c r="A17" s="1759" t="s">
        <v>1881</v>
      </c>
      <c r="B17" s="1760">
        <v>2</v>
      </c>
      <c r="C17" s="1760">
        <v>3</v>
      </c>
      <c r="D17" s="1760">
        <v>2</v>
      </c>
    </row>
    <row r="18" spans="1:7">
      <c r="A18" s="1759" t="s">
        <v>1882</v>
      </c>
      <c r="B18" s="1760">
        <v>2</v>
      </c>
      <c r="C18" s="1760">
        <v>3</v>
      </c>
      <c r="D18" s="1760">
        <v>2</v>
      </c>
    </row>
    <row r="19" spans="1:7">
      <c r="A19" s="1759" t="s">
        <v>1883</v>
      </c>
      <c r="B19" s="1760">
        <v>2</v>
      </c>
      <c r="C19" s="1760">
        <v>3</v>
      </c>
      <c r="D19" s="1760">
        <v>3</v>
      </c>
    </row>
    <row r="20" spans="1:7">
      <c r="A20" s="1759" t="s">
        <v>1884</v>
      </c>
      <c r="B20" s="1760">
        <v>1</v>
      </c>
      <c r="C20" s="1760">
        <v>3</v>
      </c>
      <c r="D20" s="1760">
        <v>3</v>
      </c>
    </row>
    <row r="21" spans="1:7">
      <c r="A21" s="1759" t="s">
        <v>1885</v>
      </c>
      <c r="B21" s="1760">
        <v>1</v>
      </c>
      <c r="C21" s="1760">
        <v>3</v>
      </c>
      <c r="D21" s="1760">
        <v>2</v>
      </c>
    </row>
    <row r="22" spans="1:7" ht="36" customHeight="1">
      <c r="A22" s="1764" t="s">
        <v>1886</v>
      </c>
      <c r="B22" s="1760">
        <v>2</v>
      </c>
      <c r="C22" s="1760">
        <v>3</v>
      </c>
      <c r="D22" s="1760">
        <v>3</v>
      </c>
    </row>
    <row r="23" spans="1:7">
      <c r="A23" s="1759" t="s">
        <v>1887</v>
      </c>
      <c r="B23" s="1760">
        <v>1</v>
      </c>
      <c r="C23" s="1760">
        <v>2</v>
      </c>
      <c r="D23" s="1760">
        <v>3</v>
      </c>
    </row>
    <row r="24" spans="1:7" ht="15.75" thickBot="1">
      <c r="A24" s="1761" t="s">
        <v>1888</v>
      </c>
      <c r="B24" s="1762">
        <v>2</v>
      </c>
      <c r="C24" s="1762">
        <v>3</v>
      </c>
      <c r="D24" s="1760">
        <v>3</v>
      </c>
    </row>
    <row r="25" spans="1:7">
      <c r="A25" s="1756" t="s">
        <v>1370</v>
      </c>
      <c r="B25" s="1765"/>
      <c r="C25" s="1772"/>
      <c r="D25" s="1772"/>
      <c r="E25">
        <f>SUM(B3:B24)</f>
        <v>28</v>
      </c>
      <c r="F25">
        <f t="shared" ref="F25:G25" si="0">SUM(C3:C24)</f>
        <v>52</v>
      </c>
      <c r="G25">
        <f t="shared" si="0"/>
        <v>59</v>
      </c>
    </row>
    <row r="26" spans="1:7">
      <c r="A26" s="1759" t="s">
        <v>1889</v>
      </c>
      <c r="B26" s="1760">
        <v>2</v>
      </c>
      <c r="C26" s="1760">
        <v>2</v>
      </c>
      <c r="D26" s="1760"/>
    </row>
    <row r="27" spans="1:7">
      <c r="A27" s="1759" t="s">
        <v>1890</v>
      </c>
      <c r="B27" s="1760">
        <v>1</v>
      </c>
      <c r="C27" s="1760">
        <v>2</v>
      </c>
      <c r="D27" s="1760"/>
    </row>
    <row r="28" spans="1:7" ht="15.75" thickBot="1">
      <c r="A28" s="1766" t="s">
        <v>1891</v>
      </c>
      <c r="B28" s="1767">
        <v>3</v>
      </c>
      <c r="C28" s="1767">
        <v>2</v>
      </c>
      <c r="D28" s="1767"/>
      <c r="F28">
        <f>SUM(C26:C28)</f>
        <v>6</v>
      </c>
    </row>
    <row r="29" spans="1:7">
      <c r="A29" s="1756" t="s">
        <v>1371</v>
      </c>
      <c r="B29" s="1765"/>
      <c r="C29" s="1773"/>
      <c r="D29" s="1773"/>
    </row>
    <row r="30" spans="1:7">
      <c r="A30" s="1759" t="s">
        <v>1892</v>
      </c>
      <c r="B30" s="1760">
        <v>2</v>
      </c>
      <c r="C30" s="1760">
        <v>2</v>
      </c>
      <c r="D30" s="1760"/>
    </row>
    <row r="31" spans="1:7">
      <c r="A31" s="1759" t="s">
        <v>1372</v>
      </c>
      <c r="B31" s="1760">
        <v>2</v>
      </c>
      <c r="C31" s="1760">
        <v>2</v>
      </c>
      <c r="D31" s="1760"/>
    </row>
    <row r="32" spans="1:7">
      <c r="A32" s="1759" t="s">
        <v>1893</v>
      </c>
      <c r="B32" s="1760">
        <v>2</v>
      </c>
      <c r="C32" s="1760">
        <v>2</v>
      </c>
      <c r="D32" s="1760"/>
    </row>
    <row r="33" spans="1:6" ht="15.75" thickBot="1">
      <c r="A33" s="1766" t="s">
        <v>1373</v>
      </c>
      <c r="B33" s="1767">
        <v>2</v>
      </c>
      <c r="C33" s="1767">
        <v>2</v>
      </c>
      <c r="D33" s="1767"/>
      <c r="F33">
        <f>SUM(C30:C34)</f>
        <v>10</v>
      </c>
    </row>
    <row r="34" spans="1:6" ht="15.75" thickBot="1">
      <c r="A34" s="1756" t="s">
        <v>1894</v>
      </c>
      <c r="B34" s="1768">
        <v>3</v>
      </c>
      <c r="C34" s="1774">
        <v>2</v>
      </c>
      <c r="D34" s="1774"/>
    </row>
    <row r="35" spans="1:6" ht="15.75" thickTop="1">
      <c r="A35" s="1769" t="s">
        <v>1895</v>
      </c>
      <c r="B35" s="1770">
        <f>SUM(B3:B34)</f>
        <v>45</v>
      </c>
      <c r="C35" s="1770">
        <f>SUM(C3:C34)</f>
        <v>68</v>
      </c>
      <c r="D35" s="1770"/>
    </row>
    <row r="36" spans="1:6">
      <c r="A36" s="1771" t="s">
        <v>1896</v>
      </c>
    </row>
    <row r="37" spans="1:6">
      <c r="A37" s="1771" t="s">
        <v>1897</v>
      </c>
    </row>
    <row r="38" spans="1:6">
      <c r="A38" s="1771" t="s">
        <v>1898</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76"/>
  <sheetViews>
    <sheetView showGridLines="0" workbookViewId="0">
      <pane xSplit="2" ySplit="5" topLeftCell="C6" activePane="bottomRight" state="frozen"/>
      <selection pane="topRight" activeCell="C1" sqref="C1"/>
      <selection pane="bottomLeft" activeCell="A9" sqref="A9"/>
      <selection pane="bottomRight" activeCell="L9" sqref="L9:Q9"/>
    </sheetView>
  </sheetViews>
  <sheetFormatPr defaultColWidth="8.85546875" defaultRowHeight="12.75" outlineLevelRow="1"/>
  <cols>
    <col min="1" max="1" width="13" style="158" customWidth="1"/>
    <col min="2" max="7" width="17" style="158" customWidth="1"/>
    <col min="8" max="8" width="17" style="60" customWidth="1"/>
    <col min="9" max="9" width="17" style="158" customWidth="1"/>
    <col min="10" max="10" width="11.85546875" style="158" customWidth="1"/>
    <col min="11" max="13" width="9.85546875" style="158" bestFit="1" customWidth="1"/>
    <col min="14" max="14" width="10.85546875" style="158" customWidth="1"/>
    <col min="15" max="17" width="9.85546875" style="158" bestFit="1" customWidth="1"/>
    <col min="18" max="19" width="9.85546875" style="158" customWidth="1"/>
    <col min="20" max="16384" width="8.85546875" style="158"/>
  </cols>
  <sheetData>
    <row r="1" spans="1:31" ht="15">
      <c r="A1" s="62"/>
      <c r="B1" s="62"/>
      <c r="C1" s="62"/>
      <c r="D1" s="62"/>
      <c r="E1" s="62"/>
      <c r="F1" s="62"/>
      <c r="G1" s="62"/>
      <c r="H1" s="62"/>
      <c r="I1" s="62"/>
      <c r="J1" s="62"/>
    </row>
    <row r="2" spans="1:31">
      <c r="A2" s="160"/>
      <c r="B2" s="160"/>
      <c r="C2" s="160"/>
      <c r="D2" s="160"/>
      <c r="E2" s="160"/>
      <c r="F2" s="160"/>
      <c r="G2" s="160"/>
      <c r="H2" s="64"/>
      <c r="I2" s="160"/>
    </row>
    <row r="4" spans="1:31">
      <c r="A4" s="71">
        <v>1</v>
      </c>
      <c r="B4" s="71" t="s">
        <v>264</v>
      </c>
      <c r="C4" s="71"/>
      <c r="D4" s="71"/>
      <c r="E4" s="71"/>
      <c r="F4" s="71"/>
      <c r="G4" s="71"/>
      <c r="H4" s="71"/>
      <c r="I4" s="71"/>
      <c r="J4" s="1910" t="s">
        <v>442</v>
      </c>
      <c r="K4" s="1910"/>
      <c r="L4" s="1910"/>
      <c r="M4" s="1910"/>
      <c r="N4" s="1910"/>
      <c r="O4" s="1910"/>
      <c r="P4" s="1910"/>
      <c r="Q4" s="1910"/>
      <c r="R4" s="161"/>
      <c r="S4" s="86"/>
      <c r="T4" s="161"/>
      <c r="U4" s="161"/>
      <c r="V4" s="161"/>
      <c r="W4" s="161"/>
      <c r="X4" s="161"/>
      <c r="Y4" s="161"/>
      <c r="Z4" s="161"/>
      <c r="AA4" s="161"/>
      <c r="AB4" s="161"/>
      <c r="AC4" s="161"/>
      <c r="AD4" s="161"/>
      <c r="AE4" s="161"/>
    </row>
    <row r="5" spans="1:31">
      <c r="A5" s="71"/>
      <c r="B5" s="92" t="s">
        <v>357</v>
      </c>
      <c r="C5" s="92"/>
      <c r="D5" s="92">
        <v>2009</v>
      </c>
      <c r="E5" s="92">
        <v>2010</v>
      </c>
      <c r="F5" s="92">
        <v>2011</v>
      </c>
      <c r="G5" s="92">
        <v>2012</v>
      </c>
      <c r="H5" s="92">
        <v>2013</v>
      </c>
      <c r="I5" s="92">
        <v>2014</v>
      </c>
      <c r="J5" s="72">
        <v>2015</v>
      </c>
      <c r="K5" s="72" t="s">
        <v>303</v>
      </c>
      <c r="L5" s="72" t="s">
        <v>304</v>
      </c>
      <c r="M5" s="72" t="s">
        <v>305</v>
      </c>
      <c r="N5" s="72" t="s">
        <v>306</v>
      </c>
      <c r="O5" s="72" t="s">
        <v>307</v>
      </c>
      <c r="P5" s="72" t="s">
        <v>308</v>
      </c>
      <c r="Q5" s="72" t="s">
        <v>309</v>
      </c>
      <c r="R5" s="72" t="s">
        <v>340</v>
      </c>
      <c r="S5" s="72" t="s">
        <v>355</v>
      </c>
      <c r="T5" s="72" t="s">
        <v>356</v>
      </c>
      <c r="U5" s="72" t="s">
        <v>341</v>
      </c>
      <c r="V5" s="72" t="s">
        <v>342</v>
      </c>
      <c r="W5" s="72" t="s">
        <v>343</v>
      </c>
      <c r="X5" s="72" t="s">
        <v>344</v>
      </c>
      <c r="Y5" s="72" t="s">
        <v>345</v>
      </c>
      <c r="Z5" s="72" t="s">
        <v>346</v>
      </c>
      <c r="AA5" s="72" t="s">
        <v>347</v>
      </c>
      <c r="AB5" s="72" t="s">
        <v>348</v>
      </c>
      <c r="AC5" s="72" t="s">
        <v>349</v>
      </c>
      <c r="AD5" s="72" t="s">
        <v>350</v>
      </c>
      <c r="AE5" s="72" t="s">
        <v>353</v>
      </c>
    </row>
    <row r="6" spans="1:31" ht="13.15" customHeight="1">
      <c r="A6" s="71" t="s">
        <v>16</v>
      </c>
      <c r="B6" s="92"/>
      <c r="C6" s="461" t="s">
        <v>945</v>
      </c>
      <c r="D6" s="458">
        <f>'DM_02_SR výkony'!J15</f>
        <v>1127000000</v>
      </c>
      <c r="E6" s="458">
        <f>'DM_02_SR výkony'!K15</f>
        <v>1119000000</v>
      </c>
      <c r="F6" s="458">
        <f>'DM_02_SR výkony'!L15</f>
        <v>1172000000</v>
      </c>
      <c r="G6" s="458">
        <f>'DM_02_SR výkony'!M15</f>
        <v>1137000000</v>
      </c>
      <c r="H6" s="458">
        <f>'DM_02_SR výkony'!N15</f>
        <v>1145000000</v>
      </c>
      <c r="I6" s="458">
        <f>'DM_02_SR výkony'!P15</f>
        <v>1119000000</v>
      </c>
      <c r="J6" s="459">
        <f>'DM_02_SR výkony'!P15</f>
        <v>1119000000</v>
      </c>
      <c r="K6" s="460">
        <f>'DM_02_SR výkony'!Q15</f>
        <v>1197000000</v>
      </c>
      <c r="L6" s="460">
        <f>'DM_02_SR výkony'!R15</f>
        <v>1289000000</v>
      </c>
      <c r="M6" s="460">
        <f>'DM_02_SR výkony'!S15</f>
        <v>1299000000</v>
      </c>
      <c r="N6" s="460">
        <f>'DM_02_SR výkony'!T15</f>
        <v>1327000000</v>
      </c>
      <c r="O6" s="460">
        <f>'DM_02_SR výkony'!U15</f>
        <v>981000000</v>
      </c>
      <c r="P6" s="460">
        <f>'DM_02_SR výkony'!V15</f>
        <v>931000000</v>
      </c>
      <c r="Q6" s="460">
        <f>'DM_02_SR výkony'!W15</f>
        <v>1552000000</v>
      </c>
      <c r="R6" s="462">
        <f>(Q6*AVERAGE(R55,R62,R68,R69))+Q6</f>
        <v>1658687953.0607097</v>
      </c>
      <c r="S6" s="72" t="e">
        <v>#DIV/0!</v>
      </c>
      <c r="T6" s="72" t="e">
        <v>#DIV/0!</v>
      </c>
      <c r="U6" s="462">
        <f>($C$76*R6)+R6</f>
        <v>1686986377.5303781</v>
      </c>
      <c r="V6" s="462">
        <f t="shared" ref="V6:AD6" si="0">($C$76*U6)+U6</f>
        <v>1715767593.730696</v>
      </c>
      <c r="W6" s="462">
        <f t="shared" si="0"/>
        <v>1745039838.440196</v>
      </c>
      <c r="X6" s="462">
        <f t="shared" si="0"/>
        <v>1774811488.9628515</v>
      </c>
      <c r="Y6" s="462">
        <f t="shared" si="0"/>
        <v>1805091065.5255425</v>
      </c>
      <c r="Z6" s="462">
        <f t="shared" si="0"/>
        <v>1835887233.7164247</v>
      </c>
      <c r="AA6" s="462">
        <f t="shared" si="0"/>
        <v>1867208806.9648988</v>
      </c>
      <c r="AB6" s="462">
        <f t="shared" si="0"/>
        <v>1899064749.0638897</v>
      </c>
      <c r="AC6" s="462">
        <f t="shared" si="0"/>
        <v>1931464176.735158</v>
      </c>
      <c r="AD6" s="462">
        <f t="shared" si="0"/>
        <v>1964416362.2383764</v>
      </c>
      <c r="AE6" s="72"/>
    </row>
    <row r="7" spans="1:31">
      <c r="A7" s="72" t="s">
        <v>40</v>
      </c>
      <c r="B7" s="94"/>
      <c r="C7" s="170"/>
      <c r="D7" s="170"/>
      <c r="E7" s="170"/>
      <c r="F7" s="170"/>
      <c r="G7" s="170"/>
      <c r="H7" s="170"/>
      <c r="I7" s="170"/>
      <c r="J7" s="91"/>
      <c r="K7" s="73"/>
      <c r="L7" s="73"/>
      <c r="M7" s="73"/>
      <c r="N7" s="73"/>
      <c r="O7" s="73"/>
      <c r="P7" s="73"/>
      <c r="Q7" s="73"/>
      <c r="R7" s="73"/>
      <c r="S7" s="73" t="e">
        <f t="shared" ref="S7:S24" si="1">AVERAGE(L7:Q7)</f>
        <v>#DIV/0!</v>
      </c>
      <c r="T7" s="73" t="e">
        <f t="shared" ref="T7:T24" si="2">AVERAGE(L7:N7)</f>
        <v>#DIV/0!</v>
      </c>
      <c r="U7" s="73">
        <f>N7+(4*T30)</f>
        <v>0</v>
      </c>
      <c r="V7" s="73" t="e">
        <f t="shared" ref="V7:V24" si="3">U7+(U7*T54)</f>
        <v>#DIV/0!</v>
      </c>
      <c r="W7" s="73" t="e">
        <f t="shared" ref="W7:W24" si="4">V7+(V7*U54)</f>
        <v>#DIV/0!</v>
      </c>
      <c r="X7" s="73" t="e">
        <f t="shared" ref="X7:X24" si="5">W7+(W7*V54)</f>
        <v>#DIV/0!</v>
      </c>
      <c r="Y7" s="73" t="e">
        <f t="shared" ref="Y7:Y24" si="6">X7+(X7*W54)</f>
        <v>#DIV/0!</v>
      </c>
      <c r="Z7" s="73" t="e">
        <f t="shared" ref="Z7:Z24" si="7">Y7+(Y7*X54)</f>
        <v>#DIV/0!</v>
      </c>
      <c r="AA7" s="73" t="e">
        <f t="shared" ref="AA7:AA24" si="8">Z7+(Z7*Y54)</f>
        <v>#DIV/0!</v>
      </c>
      <c r="AB7" s="73" t="e">
        <f t="shared" ref="AB7:AB24" si="9">AA7+(AA7*Z54)</f>
        <v>#DIV/0!</v>
      </c>
      <c r="AC7" s="73" t="e">
        <f t="shared" ref="AC7:AC24" si="10">AB7+(AB7*AA54)</f>
        <v>#DIV/0!</v>
      </c>
      <c r="AD7" s="73" t="e">
        <f t="shared" ref="AD7:AD24" si="11">AC7+(AC7*AB54)</f>
        <v>#DIV/0!</v>
      </c>
      <c r="AE7" s="73"/>
    </row>
    <row r="8" spans="1:31">
      <c r="A8" s="72" t="s">
        <v>59</v>
      </c>
      <c r="B8" s="95"/>
      <c r="C8" s="189"/>
      <c r="D8" s="189"/>
      <c r="E8" s="189"/>
      <c r="F8" s="189"/>
      <c r="G8" s="189"/>
      <c r="H8" s="189"/>
      <c r="I8" s="189"/>
      <c r="J8" s="91"/>
      <c r="K8" s="73"/>
      <c r="L8" s="168">
        <v>5241000</v>
      </c>
      <c r="M8" s="168">
        <v>5128000</v>
      </c>
      <c r="N8" s="168">
        <v>5114000</v>
      </c>
      <c r="O8" s="168">
        <v>3504000</v>
      </c>
      <c r="P8" s="168">
        <v>3409000</v>
      </c>
      <c r="Q8" s="168">
        <v>4480000.32</v>
      </c>
      <c r="R8" s="168">
        <v>5503346</v>
      </c>
      <c r="S8" s="73">
        <f t="shared" si="1"/>
        <v>4479333.3866666667</v>
      </c>
      <c r="T8" s="73">
        <f t="shared" si="2"/>
        <v>5161000</v>
      </c>
      <c r="U8" s="73">
        <f>R8+R8*0.01</f>
        <v>5558379.46</v>
      </c>
      <c r="V8" s="73">
        <f t="shared" si="3"/>
        <v>5490870.4956334159</v>
      </c>
      <c r="W8" s="73">
        <f t="shared" si="4"/>
        <v>5545779.20058975</v>
      </c>
      <c r="X8" s="73">
        <f t="shared" si="5"/>
        <v>5478423.2719181301</v>
      </c>
      <c r="Y8" s="73">
        <f t="shared" si="6"/>
        <v>5411885.4106385065</v>
      </c>
      <c r="Z8" s="73">
        <f t="shared" si="7"/>
        <v>5346155.680962434</v>
      </c>
      <c r="AA8" s="73">
        <f t="shared" si="8"/>
        <v>5281224.2677759891</v>
      </c>
      <c r="AB8" s="73">
        <f t="shared" si="9"/>
        <v>5217081.4751741271</v>
      </c>
      <c r="AC8" s="73">
        <f t="shared" si="10"/>
        <v>5153717.7250128351</v>
      </c>
      <c r="AD8" s="73">
        <f t="shared" si="11"/>
        <v>5091123.5554788746</v>
      </c>
      <c r="AE8" s="73"/>
    </row>
    <row r="9" spans="1:31">
      <c r="A9" s="72" t="s">
        <v>43</v>
      </c>
      <c r="B9" s="95"/>
      <c r="C9" s="189"/>
      <c r="D9" s="189"/>
      <c r="E9" s="189"/>
      <c r="F9" s="189"/>
      <c r="G9" s="189"/>
      <c r="H9" s="189"/>
      <c r="I9" s="189"/>
      <c r="J9" s="91"/>
      <c r="K9" s="73"/>
      <c r="L9" s="156">
        <v>923409577.25547528</v>
      </c>
      <c r="M9" s="156">
        <v>935968095.94421899</v>
      </c>
      <c r="N9" s="156">
        <v>970143227.63275909</v>
      </c>
      <c r="O9" s="156">
        <v>738900195.59299159</v>
      </c>
      <c r="P9" s="156">
        <v>679378617.10572028</v>
      </c>
      <c r="Q9" s="156">
        <v>931048378.06506622</v>
      </c>
      <c r="R9" s="73"/>
      <c r="S9" s="73">
        <f t="shared" si="1"/>
        <v>863141348.59937191</v>
      </c>
      <c r="T9" s="73">
        <f t="shared" si="2"/>
        <v>943173633.61081779</v>
      </c>
      <c r="U9" s="73">
        <f t="shared" ref="U9:U24" si="12">N9+(4*T32)</f>
        <v>1063610528.3873267</v>
      </c>
      <c r="V9" s="73">
        <f t="shared" si="3"/>
        <v>1090261044.1492009</v>
      </c>
      <c r="W9" s="73" t="e">
        <f t="shared" si="4"/>
        <v>#DIV/0!</v>
      </c>
      <c r="X9" s="73" t="e">
        <f t="shared" si="5"/>
        <v>#DIV/0!</v>
      </c>
      <c r="Y9" s="73" t="e">
        <f t="shared" si="6"/>
        <v>#DIV/0!</v>
      </c>
      <c r="Z9" s="73" t="e">
        <f t="shared" si="7"/>
        <v>#DIV/0!</v>
      </c>
      <c r="AA9" s="73" t="e">
        <f t="shared" si="8"/>
        <v>#DIV/0!</v>
      </c>
      <c r="AB9" s="73" t="e">
        <f t="shared" si="9"/>
        <v>#DIV/0!</v>
      </c>
      <c r="AC9" s="73" t="e">
        <f t="shared" si="10"/>
        <v>#DIV/0!</v>
      </c>
      <c r="AD9" s="73" t="e">
        <f t="shared" si="11"/>
        <v>#DIV/0!</v>
      </c>
      <c r="AE9" s="73"/>
    </row>
    <row r="10" spans="1:31">
      <c r="A10" s="72" t="s">
        <v>44</v>
      </c>
      <c r="B10" s="95"/>
      <c r="C10" s="189"/>
      <c r="D10" s="189"/>
      <c r="E10" s="189"/>
      <c r="F10" s="189"/>
      <c r="G10" s="189"/>
      <c r="H10" s="189"/>
      <c r="I10" s="189"/>
      <c r="J10" s="91"/>
      <c r="K10" s="73"/>
      <c r="L10" s="73"/>
      <c r="M10" s="73"/>
      <c r="N10" s="73"/>
      <c r="O10" s="73"/>
      <c r="P10" s="73"/>
      <c r="Q10" s="73"/>
      <c r="R10" s="73"/>
      <c r="S10" s="73" t="e">
        <f t="shared" si="1"/>
        <v>#DIV/0!</v>
      </c>
      <c r="T10" s="73" t="e">
        <f t="shared" si="2"/>
        <v>#DIV/0!</v>
      </c>
      <c r="U10" s="73">
        <f t="shared" si="12"/>
        <v>0</v>
      </c>
      <c r="V10" s="73" t="e">
        <f t="shared" si="3"/>
        <v>#DIV/0!</v>
      </c>
      <c r="W10" s="73" t="e">
        <f t="shared" si="4"/>
        <v>#DIV/0!</v>
      </c>
      <c r="X10" s="73" t="e">
        <f t="shared" si="5"/>
        <v>#DIV/0!</v>
      </c>
      <c r="Y10" s="73" t="e">
        <f t="shared" si="6"/>
        <v>#DIV/0!</v>
      </c>
      <c r="Z10" s="73" t="e">
        <f t="shared" si="7"/>
        <v>#DIV/0!</v>
      </c>
      <c r="AA10" s="73" t="e">
        <f t="shared" si="8"/>
        <v>#DIV/0!</v>
      </c>
      <c r="AB10" s="73" t="e">
        <f t="shared" si="9"/>
        <v>#DIV/0!</v>
      </c>
      <c r="AC10" s="73" t="e">
        <f t="shared" si="10"/>
        <v>#DIV/0!</v>
      </c>
      <c r="AD10" s="73" t="e">
        <f t="shared" si="11"/>
        <v>#DIV/0!</v>
      </c>
      <c r="AE10" s="73"/>
    </row>
    <row r="11" spans="1:31">
      <c r="A11" s="72" t="s">
        <v>57</v>
      </c>
      <c r="B11" s="95"/>
      <c r="C11" s="189"/>
      <c r="D11" s="189"/>
      <c r="E11" s="189"/>
      <c r="F11" s="189"/>
      <c r="G11" s="189"/>
      <c r="H11" s="189"/>
      <c r="I11" s="189"/>
      <c r="J11" s="91"/>
      <c r="K11" s="73"/>
      <c r="L11" s="73"/>
      <c r="M11" s="73"/>
      <c r="N11" s="73"/>
      <c r="O11" s="73"/>
      <c r="P11" s="73"/>
      <c r="Q11" s="73"/>
      <c r="R11" s="73"/>
      <c r="S11" s="73" t="e">
        <f t="shared" si="1"/>
        <v>#DIV/0!</v>
      </c>
      <c r="T11" s="73" t="e">
        <f t="shared" si="2"/>
        <v>#DIV/0!</v>
      </c>
      <c r="U11" s="73">
        <f t="shared" si="12"/>
        <v>0</v>
      </c>
      <c r="V11" s="73" t="e">
        <f t="shared" si="3"/>
        <v>#DIV/0!</v>
      </c>
      <c r="W11" s="73" t="e">
        <f t="shared" si="4"/>
        <v>#DIV/0!</v>
      </c>
      <c r="X11" s="73" t="e">
        <f t="shared" si="5"/>
        <v>#DIV/0!</v>
      </c>
      <c r="Y11" s="73" t="e">
        <f t="shared" si="6"/>
        <v>#DIV/0!</v>
      </c>
      <c r="Z11" s="73" t="e">
        <f t="shared" si="7"/>
        <v>#DIV/0!</v>
      </c>
      <c r="AA11" s="73" t="e">
        <f t="shared" si="8"/>
        <v>#DIV/0!</v>
      </c>
      <c r="AB11" s="73" t="e">
        <f t="shared" si="9"/>
        <v>#DIV/0!</v>
      </c>
      <c r="AC11" s="73" t="e">
        <f t="shared" si="10"/>
        <v>#DIV/0!</v>
      </c>
      <c r="AD11" s="73" t="e">
        <f t="shared" si="11"/>
        <v>#DIV/0!</v>
      </c>
      <c r="AE11" s="73"/>
    </row>
    <row r="12" spans="1:31">
      <c r="A12" s="72" t="s">
        <v>55</v>
      </c>
      <c r="B12" s="95"/>
      <c r="C12" s="189"/>
      <c r="D12" s="189"/>
      <c r="E12" s="189"/>
      <c r="F12" s="189"/>
      <c r="G12" s="189"/>
      <c r="H12" s="189"/>
      <c r="I12" s="189"/>
      <c r="J12" s="91"/>
      <c r="K12" s="73"/>
      <c r="L12" s="73"/>
      <c r="M12" s="73"/>
      <c r="N12" s="73"/>
      <c r="O12" s="73"/>
      <c r="P12" s="73"/>
      <c r="Q12" s="156">
        <v>52867587</v>
      </c>
      <c r="R12" s="156">
        <v>59499902</v>
      </c>
      <c r="S12" s="73">
        <f t="shared" si="1"/>
        <v>52867587</v>
      </c>
      <c r="T12" s="73" t="e">
        <f t="shared" si="2"/>
        <v>#DIV/0!</v>
      </c>
      <c r="U12" s="73">
        <f t="shared" si="12"/>
        <v>0</v>
      </c>
      <c r="V12" s="73" t="e">
        <f t="shared" si="3"/>
        <v>#DIV/0!</v>
      </c>
      <c r="W12" s="73" t="e">
        <f t="shared" si="4"/>
        <v>#DIV/0!</v>
      </c>
      <c r="X12" s="73" t="e">
        <f t="shared" si="5"/>
        <v>#DIV/0!</v>
      </c>
      <c r="Y12" s="73" t="e">
        <f t="shared" si="6"/>
        <v>#DIV/0!</v>
      </c>
      <c r="Z12" s="73" t="e">
        <f t="shared" si="7"/>
        <v>#DIV/0!</v>
      </c>
      <c r="AA12" s="73" t="e">
        <f t="shared" si="8"/>
        <v>#DIV/0!</v>
      </c>
      <c r="AB12" s="73" t="e">
        <f t="shared" si="9"/>
        <v>#DIV/0!</v>
      </c>
      <c r="AC12" s="73" t="e">
        <f t="shared" si="10"/>
        <v>#DIV/0!</v>
      </c>
      <c r="AD12" s="73" t="e">
        <f t="shared" si="11"/>
        <v>#DIV/0!</v>
      </c>
      <c r="AE12" s="73"/>
    </row>
    <row r="13" spans="1:31">
      <c r="A13" s="72" t="s">
        <v>45</v>
      </c>
      <c r="B13" s="95"/>
      <c r="C13" s="189"/>
      <c r="D13" s="189"/>
      <c r="E13" s="189"/>
      <c r="F13" s="189"/>
      <c r="G13" s="189"/>
      <c r="H13" s="189"/>
      <c r="I13" s="189"/>
      <c r="J13" s="91"/>
      <c r="K13" s="73"/>
      <c r="L13" s="73"/>
      <c r="M13" s="73"/>
      <c r="N13" s="73"/>
      <c r="O13" s="73"/>
      <c r="P13" s="73"/>
      <c r="Q13" s="168">
        <v>34515507</v>
      </c>
      <c r="R13" s="73"/>
      <c r="S13" s="73">
        <f t="shared" si="1"/>
        <v>34515507</v>
      </c>
      <c r="T13" s="73" t="e">
        <f t="shared" si="2"/>
        <v>#DIV/0!</v>
      </c>
      <c r="U13" s="73">
        <f t="shared" si="12"/>
        <v>0</v>
      </c>
      <c r="V13" s="73" t="e">
        <f t="shared" si="3"/>
        <v>#DIV/0!</v>
      </c>
      <c r="W13" s="73" t="e">
        <f t="shared" si="4"/>
        <v>#DIV/0!</v>
      </c>
      <c r="X13" s="73" t="e">
        <f t="shared" si="5"/>
        <v>#DIV/0!</v>
      </c>
      <c r="Y13" s="73" t="e">
        <f t="shared" si="6"/>
        <v>#DIV/0!</v>
      </c>
      <c r="Z13" s="73" t="e">
        <f t="shared" si="7"/>
        <v>#DIV/0!</v>
      </c>
      <c r="AA13" s="73" t="e">
        <f t="shared" si="8"/>
        <v>#DIV/0!</v>
      </c>
      <c r="AB13" s="73" t="e">
        <f t="shared" si="9"/>
        <v>#DIV/0!</v>
      </c>
      <c r="AC13" s="73" t="e">
        <f t="shared" si="10"/>
        <v>#DIV/0!</v>
      </c>
      <c r="AD13" s="73" t="e">
        <f t="shared" si="11"/>
        <v>#DIV/0!</v>
      </c>
      <c r="AE13" s="73"/>
    </row>
    <row r="14" spans="1:31" outlineLevel="1">
      <c r="A14" s="72" t="s">
        <v>48</v>
      </c>
      <c r="B14" s="95"/>
      <c r="C14" s="95"/>
      <c r="D14" s="95"/>
      <c r="E14" s="95"/>
      <c r="F14" s="95"/>
      <c r="G14" s="95"/>
      <c r="H14" s="95"/>
      <c r="I14" s="95"/>
      <c r="J14" s="73"/>
      <c r="K14" s="73"/>
      <c r="L14" s="73"/>
      <c r="M14" s="73"/>
      <c r="N14" s="73"/>
      <c r="O14" s="73"/>
      <c r="P14" s="73"/>
      <c r="Q14" s="73"/>
      <c r="R14" s="73"/>
      <c r="S14" s="73" t="e">
        <f t="shared" si="1"/>
        <v>#DIV/0!</v>
      </c>
      <c r="T14" s="73" t="e">
        <f t="shared" si="2"/>
        <v>#DIV/0!</v>
      </c>
      <c r="U14" s="73">
        <f t="shared" si="12"/>
        <v>0</v>
      </c>
      <c r="V14" s="73" t="e">
        <f t="shared" si="3"/>
        <v>#DIV/0!</v>
      </c>
      <c r="W14" s="73" t="e">
        <f t="shared" si="4"/>
        <v>#DIV/0!</v>
      </c>
      <c r="X14" s="73" t="e">
        <f t="shared" si="5"/>
        <v>#DIV/0!</v>
      </c>
      <c r="Y14" s="73" t="e">
        <f t="shared" si="6"/>
        <v>#DIV/0!</v>
      </c>
      <c r="Z14" s="73" t="e">
        <f t="shared" si="7"/>
        <v>#DIV/0!</v>
      </c>
      <c r="AA14" s="73" t="e">
        <f t="shared" si="8"/>
        <v>#DIV/0!</v>
      </c>
      <c r="AB14" s="73" t="e">
        <f t="shared" si="9"/>
        <v>#DIV/0!</v>
      </c>
      <c r="AC14" s="73" t="e">
        <f t="shared" si="10"/>
        <v>#DIV/0!</v>
      </c>
      <c r="AD14" s="73" t="e">
        <f t="shared" si="11"/>
        <v>#DIV/0!</v>
      </c>
      <c r="AE14" s="96"/>
    </row>
    <row r="15" spans="1:31" outlineLevel="1">
      <c r="A15" s="72" t="s">
        <v>50</v>
      </c>
      <c r="B15" s="95"/>
      <c r="C15" s="95"/>
      <c r="D15" s="95"/>
      <c r="E15" s="95"/>
      <c r="F15" s="95"/>
      <c r="G15" s="95"/>
      <c r="H15" s="95"/>
      <c r="I15" s="95"/>
      <c r="J15" s="73"/>
      <c r="K15" s="73"/>
      <c r="L15" s="73"/>
      <c r="M15" s="73"/>
      <c r="N15" s="73"/>
      <c r="O15" s="73"/>
      <c r="P15" s="73"/>
      <c r="Q15" s="168">
        <v>4585302</v>
      </c>
      <c r="R15" s="168">
        <v>4117762</v>
      </c>
      <c r="S15" s="73">
        <f t="shared" si="1"/>
        <v>4585302</v>
      </c>
      <c r="T15" s="73" t="e">
        <f t="shared" si="2"/>
        <v>#DIV/0!</v>
      </c>
      <c r="U15" s="73">
        <f t="shared" si="12"/>
        <v>0</v>
      </c>
      <c r="V15" s="73" t="e">
        <f t="shared" si="3"/>
        <v>#DIV/0!</v>
      </c>
      <c r="W15" s="73" t="e">
        <f t="shared" si="4"/>
        <v>#DIV/0!</v>
      </c>
      <c r="X15" s="73" t="e">
        <f t="shared" si="5"/>
        <v>#DIV/0!</v>
      </c>
      <c r="Y15" s="73" t="e">
        <f t="shared" si="6"/>
        <v>#DIV/0!</v>
      </c>
      <c r="Z15" s="73" t="e">
        <f t="shared" si="7"/>
        <v>#DIV/0!</v>
      </c>
      <c r="AA15" s="73" t="e">
        <f t="shared" si="8"/>
        <v>#DIV/0!</v>
      </c>
      <c r="AB15" s="73" t="e">
        <f t="shared" si="9"/>
        <v>#DIV/0!</v>
      </c>
      <c r="AC15" s="73" t="e">
        <f t="shared" si="10"/>
        <v>#DIV/0!</v>
      </c>
      <c r="AD15" s="73" t="e">
        <f t="shared" si="11"/>
        <v>#DIV/0!</v>
      </c>
      <c r="AE15" s="96"/>
    </row>
    <row r="16" spans="1:31" outlineLevel="1">
      <c r="A16" s="72" t="s">
        <v>47</v>
      </c>
      <c r="B16" s="95"/>
      <c r="C16" s="95"/>
      <c r="D16" s="95"/>
      <c r="E16" s="95"/>
      <c r="F16" s="95"/>
      <c r="G16" s="95"/>
      <c r="H16" s="95"/>
      <c r="I16" s="95"/>
      <c r="J16" s="73"/>
      <c r="K16" s="73"/>
      <c r="L16" s="73"/>
      <c r="M16" s="73"/>
      <c r="N16" s="73"/>
      <c r="O16" s="73"/>
      <c r="P16" s="73"/>
      <c r="Q16" s="73"/>
      <c r="R16" s="73"/>
      <c r="S16" s="73" t="e">
        <f t="shared" si="1"/>
        <v>#DIV/0!</v>
      </c>
      <c r="T16" s="73" t="e">
        <f t="shared" si="2"/>
        <v>#DIV/0!</v>
      </c>
      <c r="U16" s="73">
        <f t="shared" si="12"/>
        <v>0</v>
      </c>
      <c r="V16" s="73" t="e">
        <f t="shared" si="3"/>
        <v>#DIV/0!</v>
      </c>
      <c r="W16" s="73" t="e">
        <f t="shared" si="4"/>
        <v>#DIV/0!</v>
      </c>
      <c r="X16" s="73" t="e">
        <f t="shared" si="5"/>
        <v>#DIV/0!</v>
      </c>
      <c r="Y16" s="73" t="e">
        <f t="shared" si="6"/>
        <v>#DIV/0!</v>
      </c>
      <c r="Z16" s="73" t="e">
        <f t="shared" si="7"/>
        <v>#DIV/0!</v>
      </c>
      <c r="AA16" s="73" t="e">
        <f t="shared" si="8"/>
        <v>#DIV/0!</v>
      </c>
      <c r="AB16" s="73" t="e">
        <f t="shared" si="9"/>
        <v>#DIV/0!</v>
      </c>
      <c r="AC16" s="73" t="e">
        <f t="shared" si="10"/>
        <v>#DIV/0!</v>
      </c>
      <c r="AD16" s="73" t="e">
        <f t="shared" si="11"/>
        <v>#DIV/0!</v>
      </c>
      <c r="AE16" s="96"/>
    </row>
    <row r="17" spans="1:31" outlineLevel="1">
      <c r="A17" s="72" t="s">
        <v>52</v>
      </c>
      <c r="B17" s="95"/>
      <c r="C17" s="95"/>
      <c r="D17" s="95"/>
      <c r="E17" s="95"/>
      <c r="F17" s="95"/>
      <c r="G17" s="95"/>
      <c r="H17" s="95"/>
      <c r="I17" s="95"/>
      <c r="J17" s="73"/>
      <c r="K17" s="73"/>
      <c r="L17" s="168">
        <v>14707077</v>
      </c>
      <c r="M17" s="168">
        <v>14622081.104797075</v>
      </c>
      <c r="N17" s="168">
        <v>14552169.426097488</v>
      </c>
      <c r="O17" s="168">
        <v>9106069.804199513</v>
      </c>
      <c r="P17" s="168">
        <v>8900594.0639990587</v>
      </c>
      <c r="Q17" s="168">
        <v>11494222.95399935</v>
      </c>
      <c r="R17" s="73"/>
      <c r="S17" s="73">
        <f t="shared" si="1"/>
        <v>12230369.058848748</v>
      </c>
      <c r="T17" s="73">
        <f t="shared" si="2"/>
        <v>14627109.176964855</v>
      </c>
      <c r="U17" s="73">
        <f t="shared" si="12"/>
        <v>14242354.278292464</v>
      </c>
      <c r="V17" s="73">
        <f t="shared" si="3"/>
        <v>14167151.148600308</v>
      </c>
      <c r="W17" s="73" t="e">
        <f t="shared" si="4"/>
        <v>#DIV/0!</v>
      </c>
      <c r="X17" s="73" t="e">
        <f t="shared" si="5"/>
        <v>#DIV/0!</v>
      </c>
      <c r="Y17" s="73" t="e">
        <f t="shared" si="6"/>
        <v>#DIV/0!</v>
      </c>
      <c r="Z17" s="73" t="e">
        <f t="shared" si="7"/>
        <v>#DIV/0!</v>
      </c>
      <c r="AA17" s="73" t="e">
        <f t="shared" si="8"/>
        <v>#DIV/0!</v>
      </c>
      <c r="AB17" s="73" t="e">
        <f t="shared" si="9"/>
        <v>#DIV/0!</v>
      </c>
      <c r="AC17" s="73" t="e">
        <f t="shared" si="10"/>
        <v>#DIV/0!</v>
      </c>
      <c r="AD17" s="73" t="e">
        <f t="shared" si="11"/>
        <v>#DIV/0!</v>
      </c>
      <c r="AE17" s="96"/>
    </row>
    <row r="18" spans="1:31" outlineLevel="1">
      <c r="A18" s="72" t="s">
        <v>60</v>
      </c>
      <c r="B18" s="95"/>
      <c r="C18" s="95"/>
      <c r="D18" s="95"/>
      <c r="E18" s="95"/>
      <c r="F18" s="95"/>
      <c r="G18" s="95"/>
      <c r="H18" s="95"/>
      <c r="I18" s="95"/>
      <c r="J18" s="73"/>
      <c r="K18" s="73"/>
      <c r="L18" s="73"/>
      <c r="M18" s="73"/>
      <c r="N18" s="73"/>
      <c r="O18" s="73"/>
      <c r="P18" s="73"/>
      <c r="Q18" s="73"/>
      <c r="R18" s="73"/>
      <c r="S18" s="73" t="e">
        <f t="shared" si="1"/>
        <v>#DIV/0!</v>
      </c>
      <c r="T18" s="73" t="e">
        <f t="shared" si="2"/>
        <v>#DIV/0!</v>
      </c>
      <c r="U18" s="73">
        <f t="shared" si="12"/>
        <v>0</v>
      </c>
      <c r="V18" s="73" t="e">
        <f t="shared" si="3"/>
        <v>#DIV/0!</v>
      </c>
      <c r="W18" s="73" t="e">
        <f t="shared" si="4"/>
        <v>#DIV/0!</v>
      </c>
      <c r="X18" s="73" t="e">
        <f t="shared" si="5"/>
        <v>#DIV/0!</v>
      </c>
      <c r="Y18" s="73" t="e">
        <f t="shared" si="6"/>
        <v>#DIV/0!</v>
      </c>
      <c r="Z18" s="73" t="e">
        <f t="shared" si="7"/>
        <v>#DIV/0!</v>
      </c>
      <c r="AA18" s="73" t="e">
        <f t="shared" si="8"/>
        <v>#DIV/0!</v>
      </c>
      <c r="AB18" s="73" t="e">
        <f t="shared" si="9"/>
        <v>#DIV/0!</v>
      </c>
      <c r="AC18" s="73" t="e">
        <f t="shared" si="10"/>
        <v>#DIV/0!</v>
      </c>
      <c r="AD18" s="73" t="e">
        <f t="shared" si="11"/>
        <v>#DIV/0!</v>
      </c>
      <c r="AE18" s="96"/>
    </row>
    <row r="19" spans="1:31" outlineLevel="1">
      <c r="A19" s="72" t="s">
        <v>58</v>
      </c>
      <c r="B19" s="95"/>
      <c r="C19" s="95"/>
      <c r="D19" s="95"/>
      <c r="E19" s="95"/>
      <c r="F19" s="95"/>
      <c r="G19" s="95"/>
      <c r="H19" s="95"/>
      <c r="I19" s="95"/>
      <c r="J19" s="73"/>
      <c r="K19" s="73"/>
      <c r="L19" s="168">
        <v>6811441</v>
      </c>
      <c r="M19" s="168">
        <v>5921080</v>
      </c>
      <c r="N19" s="168">
        <v>5880647</v>
      </c>
      <c r="O19" s="168">
        <v>4090139</v>
      </c>
      <c r="P19" s="168">
        <v>3510907</v>
      </c>
      <c r="Q19" s="168">
        <v>4870125</v>
      </c>
      <c r="R19" s="73"/>
      <c r="S19" s="73">
        <f t="shared" si="1"/>
        <v>5180723.166666667</v>
      </c>
      <c r="T19" s="73">
        <f t="shared" si="2"/>
        <v>6204389.333333333</v>
      </c>
      <c r="U19" s="73">
        <f t="shared" si="12"/>
        <v>4019059</v>
      </c>
      <c r="V19" s="73">
        <f t="shared" si="3"/>
        <v>3742659.9424619041</v>
      </c>
      <c r="W19" s="73" t="e">
        <f t="shared" si="4"/>
        <v>#DIV/0!</v>
      </c>
      <c r="X19" s="73" t="e">
        <f t="shared" si="5"/>
        <v>#DIV/0!</v>
      </c>
      <c r="Y19" s="73" t="e">
        <f t="shared" si="6"/>
        <v>#DIV/0!</v>
      </c>
      <c r="Z19" s="73" t="e">
        <f t="shared" si="7"/>
        <v>#DIV/0!</v>
      </c>
      <c r="AA19" s="73" t="e">
        <f t="shared" si="8"/>
        <v>#DIV/0!</v>
      </c>
      <c r="AB19" s="73" t="e">
        <f t="shared" si="9"/>
        <v>#DIV/0!</v>
      </c>
      <c r="AC19" s="73" t="e">
        <f t="shared" si="10"/>
        <v>#DIV/0!</v>
      </c>
      <c r="AD19" s="73" t="e">
        <f t="shared" si="11"/>
        <v>#DIV/0!</v>
      </c>
      <c r="AE19" s="96"/>
    </row>
    <row r="20" spans="1:31" outlineLevel="1">
      <c r="A20" s="72" t="s">
        <v>49</v>
      </c>
      <c r="B20" s="95"/>
      <c r="C20" s="95"/>
      <c r="D20" s="95"/>
      <c r="E20" s="95"/>
      <c r="F20" s="95"/>
      <c r="G20" s="95"/>
      <c r="H20" s="95"/>
      <c r="I20" s="95"/>
      <c r="J20" s="73"/>
      <c r="K20" s="73"/>
      <c r="L20" s="73"/>
      <c r="M20" s="73"/>
      <c r="N20" s="73"/>
      <c r="O20" s="73"/>
      <c r="P20" s="73"/>
      <c r="Q20" s="73"/>
      <c r="R20" s="73"/>
      <c r="S20" s="73" t="e">
        <f t="shared" si="1"/>
        <v>#DIV/0!</v>
      </c>
      <c r="T20" s="73" t="e">
        <f t="shared" si="2"/>
        <v>#DIV/0!</v>
      </c>
      <c r="U20" s="73">
        <f t="shared" si="12"/>
        <v>0</v>
      </c>
      <c r="V20" s="73" t="e">
        <f t="shared" si="3"/>
        <v>#DIV/0!</v>
      </c>
      <c r="W20" s="73" t="e">
        <f t="shared" si="4"/>
        <v>#DIV/0!</v>
      </c>
      <c r="X20" s="73" t="e">
        <f t="shared" si="5"/>
        <v>#DIV/0!</v>
      </c>
      <c r="Y20" s="73" t="e">
        <f t="shared" si="6"/>
        <v>#DIV/0!</v>
      </c>
      <c r="Z20" s="73" t="e">
        <f t="shared" si="7"/>
        <v>#DIV/0!</v>
      </c>
      <c r="AA20" s="73" t="e">
        <f t="shared" si="8"/>
        <v>#DIV/0!</v>
      </c>
      <c r="AB20" s="73" t="e">
        <f t="shared" si="9"/>
        <v>#DIV/0!</v>
      </c>
      <c r="AC20" s="73" t="e">
        <f t="shared" si="10"/>
        <v>#DIV/0!</v>
      </c>
      <c r="AD20" s="73" t="e">
        <f t="shared" si="11"/>
        <v>#DIV/0!</v>
      </c>
      <c r="AE20" s="96"/>
    </row>
    <row r="21" spans="1:31" outlineLevel="1">
      <c r="A21" s="72" t="s">
        <v>53</v>
      </c>
      <c r="B21" s="95"/>
      <c r="C21" s="95"/>
      <c r="D21" s="95"/>
      <c r="E21" s="95"/>
      <c r="F21" s="95"/>
      <c r="G21" s="95"/>
      <c r="H21" s="95"/>
      <c r="I21" s="95"/>
      <c r="J21" s="73"/>
      <c r="K21" s="73"/>
      <c r="L21" s="73"/>
      <c r="M21" s="73"/>
      <c r="N21" s="168">
        <v>13144555</v>
      </c>
      <c r="O21" s="168">
        <v>7895342</v>
      </c>
      <c r="P21" s="168">
        <v>6467048</v>
      </c>
      <c r="Q21" s="168">
        <v>10155811</v>
      </c>
      <c r="R21" s="168">
        <v>12116690</v>
      </c>
      <c r="S21" s="73">
        <f t="shared" si="1"/>
        <v>9415689</v>
      </c>
      <c r="T21" s="73">
        <f t="shared" si="2"/>
        <v>13144555</v>
      </c>
      <c r="U21" s="73">
        <f t="shared" si="12"/>
        <v>39433665</v>
      </c>
      <c r="V21" s="73" t="e">
        <f t="shared" si="3"/>
        <v>#DIV/0!</v>
      </c>
      <c r="W21" s="73" t="e">
        <f t="shared" si="4"/>
        <v>#DIV/0!</v>
      </c>
      <c r="X21" s="73" t="e">
        <f t="shared" si="5"/>
        <v>#DIV/0!</v>
      </c>
      <c r="Y21" s="73" t="e">
        <f t="shared" si="6"/>
        <v>#DIV/0!</v>
      </c>
      <c r="Z21" s="73" t="e">
        <f t="shared" si="7"/>
        <v>#DIV/0!</v>
      </c>
      <c r="AA21" s="73" t="e">
        <f t="shared" si="8"/>
        <v>#DIV/0!</v>
      </c>
      <c r="AB21" s="73" t="e">
        <f t="shared" si="9"/>
        <v>#DIV/0!</v>
      </c>
      <c r="AC21" s="73" t="e">
        <f t="shared" si="10"/>
        <v>#DIV/0!</v>
      </c>
      <c r="AD21" s="73" t="e">
        <f t="shared" si="11"/>
        <v>#DIV/0!</v>
      </c>
      <c r="AE21" s="96"/>
    </row>
    <row r="22" spans="1:31" outlineLevel="1">
      <c r="A22" s="72" t="s">
        <v>42</v>
      </c>
      <c r="B22" s="95"/>
      <c r="C22" s="95"/>
      <c r="D22" s="95"/>
      <c r="E22" s="95"/>
      <c r="F22" s="95"/>
      <c r="G22" s="95"/>
      <c r="H22" s="95"/>
      <c r="I22" s="95"/>
      <c r="J22" s="73"/>
      <c r="K22" s="73"/>
      <c r="L22" s="73"/>
      <c r="M22" s="168">
        <v>15360000</v>
      </c>
      <c r="N22" s="168">
        <v>21561000</v>
      </c>
      <c r="O22" s="168">
        <v>9053000</v>
      </c>
      <c r="P22" s="168">
        <v>8333000</v>
      </c>
      <c r="Q22" s="168">
        <v>13153714</v>
      </c>
      <c r="R22" s="108">
        <v>12567440</v>
      </c>
      <c r="S22" s="73">
        <f t="shared" si="1"/>
        <v>13492142.800000001</v>
      </c>
      <c r="T22" s="73">
        <f t="shared" si="2"/>
        <v>18460500</v>
      </c>
      <c r="U22" s="73">
        <f t="shared" si="12"/>
        <v>64683000</v>
      </c>
      <c r="V22" s="73" t="e">
        <f t="shared" si="3"/>
        <v>#DIV/0!</v>
      </c>
      <c r="W22" s="73" t="e">
        <f t="shared" si="4"/>
        <v>#DIV/0!</v>
      </c>
      <c r="X22" s="73" t="e">
        <f t="shared" si="5"/>
        <v>#DIV/0!</v>
      </c>
      <c r="Y22" s="73" t="e">
        <f t="shared" si="6"/>
        <v>#DIV/0!</v>
      </c>
      <c r="Z22" s="73" t="e">
        <f t="shared" si="7"/>
        <v>#DIV/0!</v>
      </c>
      <c r="AA22" s="73" t="e">
        <f t="shared" si="8"/>
        <v>#DIV/0!</v>
      </c>
      <c r="AB22" s="73" t="e">
        <f t="shared" si="9"/>
        <v>#DIV/0!</v>
      </c>
      <c r="AC22" s="73" t="e">
        <f t="shared" si="10"/>
        <v>#DIV/0!</v>
      </c>
      <c r="AD22" s="73" t="e">
        <f t="shared" si="11"/>
        <v>#DIV/0!</v>
      </c>
      <c r="AE22" s="96"/>
    </row>
    <row r="23" spans="1:31" outlineLevel="1">
      <c r="A23" s="72" t="s">
        <v>54</v>
      </c>
      <c r="B23" s="95"/>
      <c r="C23" s="95"/>
      <c r="D23" s="95"/>
      <c r="E23" s="95"/>
      <c r="F23" s="95"/>
      <c r="G23" s="95"/>
      <c r="H23" s="95"/>
      <c r="I23" s="95"/>
      <c r="J23" s="73"/>
      <c r="K23" s="73"/>
      <c r="L23" s="73"/>
      <c r="M23" s="73"/>
      <c r="N23" s="73"/>
      <c r="O23" s="73"/>
      <c r="P23" s="73"/>
      <c r="Q23" s="73"/>
      <c r="R23" s="73"/>
      <c r="S23" s="73" t="e">
        <f t="shared" si="1"/>
        <v>#DIV/0!</v>
      </c>
      <c r="T23" s="73" t="e">
        <f t="shared" si="2"/>
        <v>#DIV/0!</v>
      </c>
      <c r="U23" s="73">
        <f t="shared" si="12"/>
        <v>0</v>
      </c>
      <c r="V23" s="73" t="e">
        <f t="shared" si="3"/>
        <v>#DIV/0!</v>
      </c>
      <c r="W23" s="73" t="e">
        <f t="shared" si="4"/>
        <v>#DIV/0!</v>
      </c>
      <c r="X23" s="73" t="e">
        <f t="shared" si="5"/>
        <v>#DIV/0!</v>
      </c>
      <c r="Y23" s="73" t="e">
        <f t="shared" si="6"/>
        <v>#DIV/0!</v>
      </c>
      <c r="Z23" s="73" t="e">
        <f t="shared" si="7"/>
        <v>#DIV/0!</v>
      </c>
      <c r="AA23" s="73" t="e">
        <f t="shared" si="8"/>
        <v>#DIV/0!</v>
      </c>
      <c r="AB23" s="73" t="e">
        <f t="shared" si="9"/>
        <v>#DIV/0!</v>
      </c>
      <c r="AC23" s="73" t="e">
        <f t="shared" si="10"/>
        <v>#DIV/0!</v>
      </c>
      <c r="AD23" s="73" t="e">
        <f t="shared" si="11"/>
        <v>#DIV/0!</v>
      </c>
      <c r="AE23" s="96"/>
    </row>
    <row r="24" spans="1:31" outlineLevel="1">
      <c r="A24" s="72" t="s">
        <v>438</v>
      </c>
      <c r="B24" s="95"/>
      <c r="C24" s="95"/>
      <c r="D24" s="95"/>
      <c r="E24" s="95"/>
      <c r="F24" s="95"/>
      <c r="G24" s="95"/>
      <c r="H24" s="95"/>
      <c r="I24" s="95"/>
      <c r="J24" s="73"/>
      <c r="K24" s="73"/>
      <c r="L24" s="73"/>
      <c r="M24" s="73"/>
      <c r="N24" s="73"/>
      <c r="O24" s="73"/>
      <c r="P24" s="73"/>
      <c r="Q24" s="73"/>
      <c r="R24" s="73"/>
      <c r="S24" s="73" t="e">
        <f t="shared" si="1"/>
        <v>#DIV/0!</v>
      </c>
      <c r="T24" s="73" t="e">
        <f t="shared" si="2"/>
        <v>#DIV/0!</v>
      </c>
      <c r="U24" s="73">
        <f t="shared" si="12"/>
        <v>0</v>
      </c>
      <c r="V24" s="73" t="e">
        <f t="shared" si="3"/>
        <v>#DIV/0!</v>
      </c>
      <c r="W24" s="73" t="e">
        <f t="shared" si="4"/>
        <v>#DIV/0!</v>
      </c>
      <c r="X24" s="73" t="e">
        <f t="shared" si="5"/>
        <v>#DIV/0!</v>
      </c>
      <c r="Y24" s="73" t="e">
        <f t="shared" si="6"/>
        <v>#DIV/0!</v>
      </c>
      <c r="Z24" s="73" t="e">
        <f t="shared" si="7"/>
        <v>#DIV/0!</v>
      </c>
      <c r="AA24" s="73" t="e">
        <f t="shared" si="8"/>
        <v>#DIV/0!</v>
      </c>
      <c r="AB24" s="73" t="e">
        <f t="shared" si="9"/>
        <v>#DIV/0!</v>
      </c>
      <c r="AC24" s="73" t="e">
        <f t="shared" si="10"/>
        <v>#DIV/0!</v>
      </c>
      <c r="AD24" s="73" t="e">
        <f t="shared" si="11"/>
        <v>#DIV/0!</v>
      </c>
      <c r="AE24" s="96"/>
    </row>
    <row r="25" spans="1:31" s="159" customFormat="1">
      <c r="A25" s="74" t="s">
        <v>203</v>
      </c>
      <c r="B25" s="93"/>
      <c r="C25" s="93"/>
      <c r="D25" s="93"/>
      <c r="E25" s="93"/>
      <c r="F25" s="93"/>
      <c r="G25" s="93"/>
      <c r="H25" s="93"/>
      <c r="I25" s="93"/>
      <c r="J25" s="75"/>
      <c r="K25" s="75">
        <f t="shared" ref="K25:R25" si="13">SUM(K7:K24)</f>
        <v>0</v>
      </c>
      <c r="L25" s="75">
        <f t="shared" si="13"/>
        <v>950169095.25547528</v>
      </c>
      <c r="M25" s="75">
        <f t="shared" si="13"/>
        <v>976999257.04901612</v>
      </c>
      <c r="N25" s="75">
        <f t="shared" si="13"/>
        <v>1030395599.0588566</v>
      </c>
      <c r="O25" s="75">
        <f t="shared" si="13"/>
        <v>772548746.39719105</v>
      </c>
      <c r="P25" s="75">
        <f t="shared" si="13"/>
        <v>709999166.16971934</v>
      </c>
      <c r="Q25" s="75">
        <f t="shared" si="13"/>
        <v>1067170647.3390657</v>
      </c>
      <c r="R25" s="75">
        <f t="shared" si="13"/>
        <v>93805140</v>
      </c>
      <c r="S25" s="101">
        <f>AVERAGE(L25:Q25)</f>
        <v>917880418.54488742</v>
      </c>
      <c r="T25" s="101">
        <f>AVERAGE(L25:N25)</f>
        <v>985854650.4544493</v>
      </c>
      <c r="U25" s="75">
        <f t="shared" ref="U25:AD25" si="14">SUM(U7:U24)</f>
        <v>1191546986.1256192</v>
      </c>
      <c r="V25" s="75" t="e">
        <f t="shared" si="14"/>
        <v>#DIV/0!</v>
      </c>
      <c r="W25" s="75" t="e">
        <f t="shared" si="14"/>
        <v>#DIV/0!</v>
      </c>
      <c r="X25" s="75" t="e">
        <f t="shared" si="14"/>
        <v>#DIV/0!</v>
      </c>
      <c r="Y25" s="75" t="e">
        <f t="shared" si="14"/>
        <v>#DIV/0!</v>
      </c>
      <c r="Z25" s="75" t="e">
        <f t="shared" si="14"/>
        <v>#DIV/0!</v>
      </c>
      <c r="AA25" s="75" t="e">
        <f t="shared" si="14"/>
        <v>#DIV/0!</v>
      </c>
      <c r="AB25" s="75" t="e">
        <f t="shared" si="14"/>
        <v>#DIV/0!</v>
      </c>
      <c r="AC25" s="75" t="e">
        <f t="shared" si="14"/>
        <v>#DIV/0!</v>
      </c>
      <c r="AD25" s="75" t="e">
        <f t="shared" si="14"/>
        <v>#DIV/0!</v>
      </c>
      <c r="AE25" s="162"/>
    </row>
    <row r="27" spans="1:31">
      <c r="A27" s="71">
        <v>2</v>
      </c>
      <c r="B27" s="71" t="s">
        <v>264</v>
      </c>
      <c r="C27" s="71"/>
      <c r="D27" s="71"/>
      <c r="E27" s="71"/>
      <c r="F27" s="71"/>
      <c r="G27" s="71"/>
      <c r="H27" s="71"/>
      <c r="I27" s="71"/>
      <c r="J27" s="1910" t="s">
        <v>443</v>
      </c>
      <c r="K27" s="1910"/>
      <c r="L27" s="1910"/>
      <c r="M27" s="1910"/>
      <c r="N27" s="1910"/>
      <c r="O27" s="1910"/>
      <c r="P27" s="1910"/>
      <c r="Q27" s="1910"/>
      <c r="R27" s="86"/>
      <c r="S27" s="86"/>
      <c r="T27" s="161"/>
      <c r="U27" s="161"/>
      <c r="V27" s="161"/>
      <c r="W27" s="161"/>
      <c r="X27" s="161"/>
      <c r="Y27" s="161"/>
      <c r="Z27" s="161"/>
      <c r="AA27" s="161"/>
      <c r="AB27" s="161"/>
      <c r="AC27" s="161"/>
      <c r="AD27" s="161"/>
      <c r="AE27" s="161"/>
    </row>
    <row r="28" spans="1:31">
      <c r="A28" s="71"/>
      <c r="B28" s="71" t="s">
        <v>357</v>
      </c>
      <c r="C28" s="71"/>
      <c r="D28" s="71">
        <v>2009</v>
      </c>
      <c r="E28" s="71">
        <v>2010</v>
      </c>
      <c r="F28" s="71">
        <v>2011</v>
      </c>
      <c r="G28" s="71">
        <v>2012</v>
      </c>
      <c r="H28" s="71">
        <v>2013</v>
      </c>
      <c r="I28" s="71">
        <v>2014</v>
      </c>
      <c r="J28" s="72">
        <v>2015</v>
      </c>
      <c r="K28" s="72" t="s">
        <v>303</v>
      </c>
      <c r="L28" s="72" t="s">
        <v>304</v>
      </c>
      <c r="M28" s="72" t="s">
        <v>305</v>
      </c>
      <c r="N28" s="72" t="s">
        <v>306</v>
      </c>
      <c r="O28" s="72" t="s">
        <v>307</v>
      </c>
      <c r="P28" s="72" t="s">
        <v>308</v>
      </c>
      <c r="Q28" s="72" t="s">
        <v>309</v>
      </c>
      <c r="R28" s="72" t="s">
        <v>340</v>
      </c>
      <c r="S28" s="72" t="s">
        <v>355</v>
      </c>
      <c r="T28" s="72" t="s">
        <v>356</v>
      </c>
      <c r="U28" s="72" t="s">
        <v>341</v>
      </c>
      <c r="V28" s="72" t="s">
        <v>342</v>
      </c>
      <c r="W28" s="72" t="s">
        <v>343</v>
      </c>
      <c r="X28" s="72" t="s">
        <v>344</v>
      </c>
      <c r="Y28" s="72" t="s">
        <v>345</v>
      </c>
      <c r="Z28" s="72" t="s">
        <v>346</v>
      </c>
      <c r="AA28" s="72" t="s">
        <v>347</v>
      </c>
      <c r="AB28" s="72" t="s">
        <v>348</v>
      </c>
      <c r="AC28" s="72" t="s">
        <v>349</v>
      </c>
      <c r="AD28" s="72" t="s">
        <v>350</v>
      </c>
      <c r="AE28" s="72" t="s">
        <v>353</v>
      </c>
    </row>
    <row r="29" spans="1:31">
      <c r="A29" s="71" t="s">
        <v>16</v>
      </c>
      <c r="B29" s="71"/>
      <c r="C29" s="71"/>
      <c r="D29" s="71"/>
      <c r="E29" s="76">
        <f t="shared" ref="E29:J29" si="15">E6-D6</f>
        <v>-8000000</v>
      </c>
      <c r="F29" s="76">
        <f t="shared" si="15"/>
        <v>53000000</v>
      </c>
      <c r="G29" s="76">
        <f t="shared" si="15"/>
        <v>-35000000</v>
      </c>
      <c r="H29" s="76">
        <f t="shared" si="15"/>
        <v>8000000</v>
      </c>
      <c r="I29" s="76">
        <f t="shared" si="15"/>
        <v>-26000000</v>
      </c>
      <c r="J29" s="76">
        <f t="shared" si="15"/>
        <v>0</v>
      </c>
      <c r="K29" s="76">
        <f t="shared" ref="K29:R30" si="16">K6-J6</f>
        <v>78000000</v>
      </c>
      <c r="L29" s="76">
        <f t="shared" si="16"/>
        <v>92000000</v>
      </c>
      <c r="M29" s="76">
        <f t="shared" si="16"/>
        <v>10000000</v>
      </c>
      <c r="N29" s="76">
        <f t="shared" si="16"/>
        <v>28000000</v>
      </c>
      <c r="O29" s="76">
        <f t="shared" si="16"/>
        <v>-346000000</v>
      </c>
      <c r="P29" s="76">
        <f t="shared" si="16"/>
        <v>-50000000</v>
      </c>
      <c r="Q29" s="76">
        <f t="shared" si="16"/>
        <v>621000000</v>
      </c>
      <c r="R29" s="76">
        <f t="shared" si="16"/>
        <v>106687953.06070971</v>
      </c>
      <c r="S29" s="73">
        <f t="shared" ref="S29:S48" si="17">AVERAGE(M29:Q29)</f>
        <v>52600000</v>
      </c>
      <c r="T29" s="73">
        <f t="shared" ref="T29:T48" si="18">AVERAGE(M29:N29)</f>
        <v>19000000</v>
      </c>
      <c r="U29" s="76">
        <f t="shared" ref="U29:U48" si="19">U6-R6</f>
        <v>28298424.469668388</v>
      </c>
      <c r="V29" s="76">
        <f t="shared" ref="V29:AD29" si="20">V6-U6</f>
        <v>28781216.20031786</v>
      </c>
      <c r="W29" s="76">
        <f t="shared" si="20"/>
        <v>29272244.709500074</v>
      </c>
      <c r="X29" s="76">
        <f t="shared" si="20"/>
        <v>29771650.522655487</v>
      </c>
      <c r="Y29" s="76">
        <f t="shared" si="20"/>
        <v>30279576.562690973</v>
      </c>
      <c r="Z29" s="76">
        <f t="shared" si="20"/>
        <v>30796168.190882206</v>
      </c>
      <c r="AA29" s="76">
        <f t="shared" si="20"/>
        <v>31321573.248474121</v>
      </c>
      <c r="AB29" s="76">
        <f t="shared" si="20"/>
        <v>31855942.098990917</v>
      </c>
      <c r="AC29" s="76">
        <f t="shared" si="20"/>
        <v>32399427.671268225</v>
      </c>
      <c r="AD29" s="76">
        <f t="shared" si="20"/>
        <v>32952185.503218412</v>
      </c>
      <c r="AE29" s="72"/>
    </row>
    <row r="30" spans="1:31">
      <c r="A30" s="72" t="s">
        <v>40</v>
      </c>
      <c r="B30" s="94"/>
      <c r="C30" s="94"/>
      <c r="D30" s="94"/>
      <c r="E30" s="94"/>
      <c r="F30" s="94"/>
      <c r="G30" s="94"/>
      <c r="H30" s="94"/>
      <c r="I30" s="94"/>
      <c r="J30" s="76"/>
      <c r="K30" s="76">
        <f t="shared" si="16"/>
        <v>0</v>
      </c>
      <c r="L30" s="76">
        <f t="shared" si="16"/>
        <v>0</v>
      </c>
      <c r="M30" s="76">
        <f t="shared" si="16"/>
        <v>0</v>
      </c>
      <c r="N30" s="76">
        <f t="shared" si="16"/>
        <v>0</v>
      </c>
      <c r="O30" s="76">
        <f t="shared" si="16"/>
        <v>0</v>
      </c>
      <c r="P30" s="76">
        <f t="shared" si="16"/>
        <v>0</v>
      </c>
      <c r="Q30" s="76">
        <f t="shared" si="16"/>
        <v>0</v>
      </c>
      <c r="R30" s="76">
        <f t="shared" si="16"/>
        <v>0</v>
      </c>
      <c r="S30" s="73">
        <f t="shared" si="17"/>
        <v>0</v>
      </c>
      <c r="T30" s="73">
        <f t="shared" si="18"/>
        <v>0</v>
      </c>
      <c r="U30" s="76">
        <f t="shared" si="19"/>
        <v>0</v>
      </c>
      <c r="V30" s="76" t="e">
        <f t="shared" ref="V30:AD30" si="21">V7-U7</f>
        <v>#DIV/0!</v>
      </c>
      <c r="W30" s="76" t="e">
        <f t="shared" si="21"/>
        <v>#DIV/0!</v>
      </c>
      <c r="X30" s="76" t="e">
        <f t="shared" si="21"/>
        <v>#DIV/0!</v>
      </c>
      <c r="Y30" s="76" t="e">
        <f t="shared" si="21"/>
        <v>#DIV/0!</v>
      </c>
      <c r="Z30" s="76" t="e">
        <f t="shared" si="21"/>
        <v>#DIV/0!</v>
      </c>
      <c r="AA30" s="76" t="e">
        <f t="shared" si="21"/>
        <v>#DIV/0!</v>
      </c>
      <c r="AB30" s="76" t="e">
        <f t="shared" si="21"/>
        <v>#DIV/0!</v>
      </c>
      <c r="AC30" s="76" t="e">
        <f t="shared" si="21"/>
        <v>#DIV/0!</v>
      </c>
      <c r="AD30" s="76" t="e">
        <f t="shared" si="21"/>
        <v>#DIV/0!</v>
      </c>
      <c r="AE30" s="73"/>
    </row>
    <row r="31" spans="1:31">
      <c r="A31" s="72" t="s">
        <v>59</v>
      </c>
      <c r="B31" s="95"/>
      <c r="C31" s="95"/>
      <c r="D31" s="95"/>
      <c r="E31" s="95"/>
      <c r="F31" s="95"/>
      <c r="G31" s="95"/>
      <c r="H31" s="95"/>
      <c r="I31" s="95"/>
      <c r="J31" s="76"/>
      <c r="K31" s="76">
        <f t="shared" ref="K31:R46" si="22">K8-J8</f>
        <v>0</v>
      </c>
      <c r="L31" s="76">
        <f t="shared" si="22"/>
        <v>5241000</v>
      </c>
      <c r="M31" s="76">
        <f t="shared" si="22"/>
        <v>-113000</v>
      </c>
      <c r="N31" s="76">
        <f t="shared" si="22"/>
        <v>-14000</v>
      </c>
      <c r="O31" s="76">
        <f t="shared" si="22"/>
        <v>-1610000</v>
      </c>
      <c r="P31" s="76">
        <f t="shared" si="22"/>
        <v>-95000</v>
      </c>
      <c r="Q31" s="76">
        <f t="shared" si="22"/>
        <v>1071000.3200000003</v>
      </c>
      <c r="R31" s="76">
        <f t="shared" si="22"/>
        <v>1023345.6799999997</v>
      </c>
      <c r="S31" s="73">
        <f t="shared" si="17"/>
        <v>-152199.93599999993</v>
      </c>
      <c r="T31" s="73">
        <f t="shared" si="18"/>
        <v>-63500</v>
      </c>
      <c r="U31" s="76">
        <f t="shared" si="19"/>
        <v>55033.459999999963</v>
      </c>
      <c r="V31" s="76">
        <f t="shared" ref="V31:AD46" si="23">V8-U8</f>
        <v>-67508.964366584085</v>
      </c>
      <c r="W31" s="76">
        <f t="shared" si="23"/>
        <v>54908.704956334084</v>
      </c>
      <c r="X31" s="76">
        <f t="shared" si="23"/>
        <v>-67355.928671619855</v>
      </c>
      <c r="Y31" s="76">
        <f t="shared" si="23"/>
        <v>-66537.861279623583</v>
      </c>
      <c r="Z31" s="76">
        <f t="shared" si="23"/>
        <v>-65729.729676072486</v>
      </c>
      <c r="AA31" s="76">
        <f t="shared" si="23"/>
        <v>-64931.413186444901</v>
      </c>
      <c r="AB31" s="76">
        <f t="shared" si="23"/>
        <v>-64142.792601861991</v>
      </c>
      <c r="AC31" s="76">
        <f t="shared" si="23"/>
        <v>-63363.750161292031</v>
      </c>
      <c r="AD31" s="76">
        <f t="shared" si="23"/>
        <v>-62594.169533960521</v>
      </c>
      <c r="AE31" s="73"/>
    </row>
    <row r="32" spans="1:31">
      <c r="A32" s="72" t="s">
        <v>43</v>
      </c>
      <c r="B32" s="95"/>
      <c r="C32" s="95"/>
      <c r="D32" s="95"/>
      <c r="E32" s="95"/>
      <c r="F32" s="95"/>
      <c r="G32" s="95"/>
      <c r="H32" s="95"/>
      <c r="I32" s="95"/>
      <c r="J32" s="76"/>
      <c r="K32" s="76">
        <f t="shared" si="22"/>
        <v>0</v>
      </c>
      <c r="L32" s="76">
        <f t="shared" si="22"/>
        <v>923409577.25547528</v>
      </c>
      <c r="M32" s="76">
        <f t="shared" si="22"/>
        <v>12558518.688743711</v>
      </c>
      <c r="N32" s="76">
        <f t="shared" si="22"/>
        <v>34175131.688540101</v>
      </c>
      <c r="O32" s="76">
        <f t="shared" si="22"/>
        <v>-231243032.0397675</v>
      </c>
      <c r="P32" s="76">
        <f t="shared" si="22"/>
        <v>-59521578.487271309</v>
      </c>
      <c r="Q32" s="76">
        <f t="shared" si="22"/>
        <v>251669760.95934594</v>
      </c>
      <c r="R32" s="76">
        <f t="shared" si="22"/>
        <v>-931048378.06506622</v>
      </c>
      <c r="S32" s="73">
        <f t="shared" si="17"/>
        <v>1527760.161918187</v>
      </c>
      <c r="T32" s="73">
        <f t="shared" si="18"/>
        <v>23366825.188641906</v>
      </c>
      <c r="U32" s="76">
        <f t="shared" si="19"/>
        <v>1063610528.3873267</v>
      </c>
      <c r="V32" s="76">
        <f t="shared" si="23"/>
        <v>26650515.761874199</v>
      </c>
      <c r="W32" s="76" t="e">
        <f t="shared" si="23"/>
        <v>#DIV/0!</v>
      </c>
      <c r="X32" s="76" t="e">
        <f t="shared" si="23"/>
        <v>#DIV/0!</v>
      </c>
      <c r="Y32" s="76" t="e">
        <f t="shared" si="23"/>
        <v>#DIV/0!</v>
      </c>
      <c r="Z32" s="76" t="e">
        <f t="shared" si="23"/>
        <v>#DIV/0!</v>
      </c>
      <c r="AA32" s="76" t="e">
        <f t="shared" si="23"/>
        <v>#DIV/0!</v>
      </c>
      <c r="AB32" s="76" t="e">
        <f t="shared" si="23"/>
        <v>#DIV/0!</v>
      </c>
      <c r="AC32" s="76" t="e">
        <f t="shared" si="23"/>
        <v>#DIV/0!</v>
      </c>
      <c r="AD32" s="76" t="e">
        <f t="shared" si="23"/>
        <v>#DIV/0!</v>
      </c>
      <c r="AE32" s="73"/>
    </row>
    <row r="33" spans="1:31">
      <c r="A33" s="72" t="s">
        <v>44</v>
      </c>
      <c r="B33" s="95"/>
      <c r="C33" s="95"/>
      <c r="D33" s="95"/>
      <c r="E33" s="95"/>
      <c r="F33" s="95"/>
      <c r="G33" s="95"/>
      <c r="H33" s="95"/>
      <c r="I33" s="95"/>
      <c r="J33" s="76"/>
      <c r="K33" s="76">
        <f t="shared" si="22"/>
        <v>0</v>
      </c>
      <c r="L33" s="76">
        <f t="shared" si="22"/>
        <v>0</v>
      </c>
      <c r="M33" s="76">
        <f t="shared" si="22"/>
        <v>0</v>
      </c>
      <c r="N33" s="76">
        <f t="shared" si="22"/>
        <v>0</v>
      </c>
      <c r="O33" s="76">
        <f t="shared" si="22"/>
        <v>0</v>
      </c>
      <c r="P33" s="76">
        <f t="shared" si="22"/>
        <v>0</v>
      </c>
      <c r="Q33" s="76">
        <f t="shared" si="22"/>
        <v>0</v>
      </c>
      <c r="R33" s="76">
        <f t="shared" si="22"/>
        <v>0</v>
      </c>
      <c r="S33" s="73">
        <f t="shared" si="17"/>
        <v>0</v>
      </c>
      <c r="T33" s="73">
        <f t="shared" si="18"/>
        <v>0</v>
      </c>
      <c r="U33" s="76">
        <f t="shared" si="19"/>
        <v>0</v>
      </c>
      <c r="V33" s="76" t="e">
        <f t="shared" si="23"/>
        <v>#DIV/0!</v>
      </c>
      <c r="W33" s="76" t="e">
        <f t="shared" si="23"/>
        <v>#DIV/0!</v>
      </c>
      <c r="X33" s="76" t="e">
        <f t="shared" si="23"/>
        <v>#DIV/0!</v>
      </c>
      <c r="Y33" s="76" t="e">
        <f t="shared" si="23"/>
        <v>#DIV/0!</v>
      </c>
      <c r="Z33" s="76" t="e">
        <f t="shared" si="23"/>
        <v>#DIV/0!</v>
      </c>
      <c r="AA33" s="76" t="e">
        <f t="shared" si="23"/>
        <v>#DIV/0!</v>
      </c>
      <c r="AB33" s="76" t="e">
        <f t="shared" si="23"/>
        <v>#DIV/0!</v>
      </c>
      <c r="AC33" s="76" t="e">
        <f t="shared" si="23"/>
        <v>#DIV/0!</v>
      </c>
      <c r="AD33" s="76" t="e">
        <f t="shared" si="23"/>
        <v>#DIV/0!</v>
      </c>
      <c r="AE33" s="73"/>
    </row>
    <row r="34" spans="1:31">
      <c r="A34" s="72" t="s">
        <v>57</v>
      </c>
      <c r="B34" s="95"/>
      <c r="C34" s="95"/>
      <c r="D34" s="95"/>
      <c r="E34" s="95"/>
      <c r="F34" s="95"/>
      <c r="G34" s="95"/>
      <c r="H34" s="95"/>
      <c r="I34" s="95"/>
      <c r="J34" s="76"/>
      <c r="K34" s="76">
        <f t="shared" si="22"/>
        <v>0</v>
      </c>
      <c r="L34" s="76">
        <f t="shared" si="22"/>
        <v>0</v>
      </c>
      <c r="M34" s="76">
        <f t="shared" si="22"/>
        <v>0</v>
      </c>
      <c r="N34" s="76">
        <f t="shared" si="22"/>
        <v>0</v>
      </c>
      <c r="O34" s="76">
        <f t="shared" si="22"/>
        <v>0</v>
      </c>
      <c r="P34" s="76">
        <f t="shared" si="22"/>
        <v>0</v>
      </c>
      <c r="Q34" s="76">
        <f t="shared" si="22"/>
        <v>0</v>
      </c>
      <c r="R34" s="76">
        <f t="shared" si="22"/>
        <v>0</v>
      </c>
      <c r="S34" s="73">
        <f t="shared" si="17"/>
        <v>0</v>
      </c>
      <c r="T34" s="73">
        <f t="shared" si="18"/>
        <v>0</v>
      </c>
      <c r="U34" s="76">
        <f t="shared" si="19"/>
        <v>0</v>
      </c>
      <c r="V34" s="76" t="e">
        <f t="shared" si="23"/>
        <v>#DIV/0!</v>
      </c>
      <c r="W34" s="76" t="e">
        <f t="shared" si="23"/>
        <v>#DIV/0!</v>
      </c>
      <c r="X34" s="76" t="e">
        <f t="shared" si="23"/>
        <v>#DIV/0!</v>
      </c>
      <c r="Y34" s="76" t="e">
        <f t="shared" si="23"/>
        <v>#DIV/0!</v>
      </c>
      <c r="Z34" s="76" t="e">
        <f t="shared" si="23"/>
        <v>#DIV/0!</v>
      </c>
      <c r="AA34" s="76" t="e">
        <f t="shared" si="23"/>
        <v>#DIV/0!</v>
      </c>
      <c r="AB34" s="76" t="e">
        <f t="shared" si="23"/>
        <v>#DIV/0!</v>
      </c>
      <c r="AC34" s="76" t="e">
        <f t="shared" si="23"/>
        <v>#DIV/0!</v>
      </c>
      <c r="AD34" s="76" t="e">
        <f t="shared" si="23"/>
        <v>#DIV/0!</v>
      </c>
      <c r="AE34" s="73"/>
    </row>
    <row r="35" spans="1:31">
      <c r="A35" s="72" t="s">
        <v>55</v>
      </c>
      <c r="B35" s="95"/>
      <c r="C35" s="95"/>
      <c r="D35" s="95"/>
      <c r="E35" s="95"/>
      <c r="F35" s="95"/>
      <c r="G35" s="95"/>
      <c r="H35" s="95"/>
      <c r="I35" s="95"/>
      <c r="J35" s="76"/>
      <c r="K35" s="76">
        <f t="shared" si="22"/>
        <v>0</v>
      </c>
      <c r="L35" s="76">
        <f t="shared" si="22"/>
        <v>0</v>
      </c>
      <c r="M35" s="76">
        <f t="shared" si="22"/>
        <v>0</v>
      </c>
      <c r="N35" s="76">
        <f t="shared" si="22"/>
        <v>0</v>
      </c>
      <c r="O35" s="76">
        <f t="shared" si="22"/>
        <v>0</v>
      </c>
      <c r="P35" s="76">
        <f t="shared" si="22"/>
        <v>0</v>
      </c>
      <c r="Q35" s="76">
        <f t="shared" si="22"/>
        <v>52867587</v>
      </c>
      <c r="R35" s="76">
        <f t="shared" si="22"/>
        <v>6632315</v>
      </c>
      <c r="S35" s="73">
        <f t="shared" si="17"/>
        <v>10573517.4</v>
      </c>
      <c r="T35" s="73">
        <f t="shared" si="18"/>
        <v>0</v>
      </c>
      <c r="U35" s="76">
        <f t="shared" si="19"/>
        <v>-59499902</v>
      </c>
      <c r="V35" s="76" t="e">
        <f t="shared" si="23"/>
        <v>#DIV/0!</v>
      </c>
      <c r="W35" s="76" t="e">
        <f t="shared" si="23"/>
        <v>#DIV/0!</v>
      </c>
      <c r="X35" s="76" t="e">
        <f t="shared" si="23"/>
        <v>#DIV/0!</v>
      </c>
      <c r="Y35" s="76" t="e">
        <f t="shared" si="23"/>
        <v>#DIV/0!</v>
      </c>
      <c r="Z35" s="76" t="e">
        <f t="shared" si="23"/>
        <v>#DIV/0!</v>
      </c>
      <c r="AA35" s="76" t="e">
        <f t="shared" si="23"/>
        <v>#DIV/0!</v>
      </c>
      <c r="AB35" s="76" t="e">
        <f t="shared" si="23"/>
        <v>#DIV/0!</v>
      </c>
      <c r="AC35" s="76" t="e">
        <f t="shared" si="23"/>
        <v>#DIV/0!</v>
      </c>
      <c r="AD35" s="76" t="e">
        <f t="shared" si="23"/>
        <v>#DIV/0!</v>
      </c>
      <c r="AE35" s="73"/>
    </row>
    <row r="36" spans="1:31">
      <c r="A36" s="72" t="s">
        <v>45</v>
      </c>
      <c r="B36" s="95"/>
      <c r="C36" s="95"/>
      <c r="D36" s="95"/>
      <c r="E36" s="95"/>
      <c r="F36" s="95"/>
      <c r="G36" s="95"/>
      <c r="H36" s="95"/>
      <c r="I36" s="95"/>
      <c r="J36" s="76"/>
      <c r="K36" s="76">
        <f t="shared" si="22"/>
        <v>0</v>
      </c>
      <c r="L36" s="76">
        <f t="shared" si="22"/>
        <v>0</v>
      </c>
      <c r="M36" s="76">
        <f t="shared" si="22"/>
        <v>0</v>
      </c>
      <c r="N36" s="76">
        <f t="shared" si="22"/>
        <v>0</v>
      </c>
      <c r="O36" s="76">
        <f t="shared" si="22"/>
        <v>0</v>
      </c>
      <c r="P36" s="76">
        <f t="shared" si="22"/>
        <v>0</v>
      </c>
      <c r="Q36" s="76">
        <f t="shared" si="22"/>
        <v>34515507</v>
      </c>
      <c r="R36" s="76">
        <f t="shared" si="22"/>
        <v>-34515507</v>
      </c>
      <c r="S36" s="73">
        <f t="shared" si="17"/>
        <v>6903101.4000000004</v>
      </c>
      <c r="T36" s="73">
        <f t="shared" si="18"/>
        <v>0</v>
      </c>
      <c r="U36" s="76">
        <f t="shared" si="19"/>
        <v>0</v>
      </c>
      <c r="V36" s="76" t="e">
        <f t="shared" si="23"/>
        <v>#DIV/0!</v>
      </c>
      <c r="W36" s="76" t="e">
        <f t="shared" si="23"/>
        <v>#DIV/0!</v>
      </c>
      <c r="X36" s="76" t="e">
        <f t="shared" si="23"/>
        <v>#DIV/0!</v>
      </c>
      <c r="Y36" s="76" t="e">
        <f t="shared" si="23"/>
        <v>#DIV/0!</v>
      </c>
      <c r="Z36" s="76" t="e">
        <f t="shared" si="23"/>
        <v>#DIV/0!</v>
      </c>
      <c r="AA36" s="76" t="e">
        <f t="shared" si="23"/>
        <v>#DIV/0!</v>
      </c>
      <c r="AB36" s="76" t="e">
        <f t="shared" si="23"/>
        <v>#DIV/0!</v>
      </c>
      <c r="AC36" s="76" t="e">
        <f t="shared" si="23"/>
        <v>#DIV/0!</v>
      </c>
      <c r="AD36" s="76" t="e">
        <f t="shared" si="23"/>
        <v>#DIV/0!</v>
      </c>
      <c r="AE36" s="73"/>
    </row>
    <row r="37" spans="1:31" outlineLevel="1">
      <c r="A37" s="72" t="s">
        <v>48</v>
      </c>
      <c r="B37" s="95"/>
      <c r="C37" s="95"/>
      <c r="D37" s="95"/>
      <c r="E37" s="95"/>
      <c r="F37" s="95"/>
      <c r="G37" s="95"/>
      <c r="H37" s="95"/>
      <c r="I37" s="95"/>
      <c r="J37" s="73"/>
      <c r="K37" s="76">
        <f t="shared" si="22"/>
        <v>0</v>
      </c>
      <c r="L37" s="76">
        <f t="shared" si="22"/>
        <v>0</v>
      </c>
      <c r="M37" s="76">
        <f t="shared" si="22"/>
        <v>0</v>
      </c>
      <c r="N37" s="76">
        <f t="shared" si="22"/>
        <v>0</v>
      </c>
      <c r="O37" s="76">
        <f t="shared" si="22"/>
        <v>0</v>
      </c>
      <c r="P37" s="76">
        <f t="shared" si="22"/>
        <v>0</v>
      </c>
      <c r="Q37" s="76">
        <f t="shared" si="22"/>
        <v>0</v>
      </c>
      <c r="R37" s="76">
        <f t="shared" si="22"/>
        <v>0</v>
      </c>
      <c r="S37" s="73">
        <f t="shared" si="17"/>
        <v>0</v>
      </c>
      <c r="T37" s="73">
        <f t="shared" si="18"/>
        <v>0</v>
      </c>
      <c r="U37" s="76">
        <f t="shared" si="19"/>
        <v>0</v>
      </c>
      <c r="V37" s="76" t="e">
        <f t="shared" si="23"/>
        <v>#DIV/0!</v>
      </c>
      <c r="W37" s="76" t="e">
        <f t="shared" si="23"/>
        <v>#DIV/0!</v>
      </c>
      <c r="X37" s="76" t="e">
        <f t="shared" si="23"/>
        <v>#DIV/0!</v>
      </c>
      <c r="Y37" s="76" t="e">
        <f t="shared" si="23"/>
        <v>#DIV/0!</v>
      </c>
      <c r="Z37" s="76" t="e">
        <f t="shared" si="23"/>
        <v>#DIV/0!</v>
      </c>
      <c r="AA37" s="76" t="e">
        <f t="shared" si="23"/>
        <v>#DIV/0!</v>
      </c>
      <c r="AB37" s="76" t="e">
        <f t="shared" si="23"/>
        <v>#DIV/0!</v>
      </c>
      <c r="AC37" s="76" t="e">
        <f t="shared" si="23"/>
        <v>#DIV/0!</v>
      </c>
      <c r="AD37" s="76" t="e">
        <f t="shared" si="23"/>
        <v>#DIV/0!</v>
      </c>
      <c r="AE37" s="96"/>
    </row>
    <row r="38" spans="1:31" outlineLevel="1">
      <c r="A38" s="72" t="s">
        <v>50</v>
      </c>
      <c r="B38" s="95"/>
      <c r="C38" s="95"/>
      <c r="D38" s="95"/>
      <c r="E38" s="95"/>
      <c r="F38" s="95"/>
      <c r="G38" s="95"/>
      <c r="H38" s="95"/>
      <c r="I38" s="95"/>
      <c r="J38" s="73"/>
      <c r="K38" s="76">
        <f t="shared" si="22"/>
        <v>0</v>
      </c>
      <c r="L38" s="76">
        <f t="shared" si="22"/>
        <v>0</v>
      </c>
      <c r="M38" s="76">
        <f t="shared" si="22"/>
        <v>0</v>
      </c>
      <c r="N38" s="76">
        <f t="shared" si="22"/>
        <v>0</v>
      </c>
      <c r="O38" s="76">
        <f t="shared" si="22"/>
        <v>0</v>
      </c>
      <c r="P38" s="76">
        <f t="shared" si="22"/>
        <v>0</v>
      </c>
      <c r="Q38" s="76">
        <f t="shared" si="22"/>
        <v>4585302</v>
      </c>
      <c r="R38" s="76">
        <f t="shared" si="22"/>
        <v>-467540</v>
      </c>
      <c r="S38" s="73">
        <f t="shared" si="17"/>
        <v>917060.4</v>
      </c>
      <c r="T38" s="73">
        <f t="shared" si="18"/>
        <v>0</v>
      </c>
      <c r="U38" s="76">
        <f t="shared" si="19"/>
        <v>-4117762</v>
      </c>
      <c r="V38" s="76" t="e">
        <f t="shared" si="23"/>
        <v>#DIV/0!</v>
      </c>
      <c r="W38" s="76" t="e">
        <f t="shared" si="23"/>
        <v>#DIV/0!</v>
      </c>
      <c r="X38" s="76" t="e">
        <f t="shared" si="23"/>
        <v>#DIV/0!</v>
      </c>
      <c r="Y38" s="76" t="e">
        <f t="shared" si="23"/>
        <v>#DIV/0!</v>
      </c>
      <c r="Z38" s="76" t="e">
        <f t="shared" si="23"/>
        <v>#DIV/0!</v>
      </c>
      <c r="AA38" s="76" t="e">
        <f t="shared" si="23"/>
        <v>#DIV/0!</v>
      </c>
      <c r="AB38" s="76" t="e">
        <f t="shared" si="23"/>
        <v>#DIV/0!</v>
      </c>
      <c r="AC38" s="76" t="e">
        <f t="shared" si="23"/>
        <v>#DIV/0!</v>
      </c>
      <c r="AD38" s="76" t="e">
        <f t="shared" si="23"/>
        <v>#DIV/0!</v>
      </c>
      <c r="AE38" s="96"/>
    </row>
    <row r="39" spans="1:31" outlineLevel="1">
      <c r="A39" s="72" t="s">
        <v>47</v>
      </c>
      <c r="B39" s="95"/>
      <c r="C39" s="95"/>
      <c r="D39" s="95"/>
      <c r="E39" s="95"/>
      <c r="F39" s="95"/>
      <c r="G39" s="95"/>
      <c r="H39" s="95"/>
      <c r="I39" s="95"/>
      <c r="J39" s="73"/>
      <c r="K39" s="76">
        <f t="shared" si="22"/>
        <v>0</v>
      </c>
      <c r="L39" s="76">
        <f t="shared" si="22"/>
        <v>0</v>
      </c>
      <c r="M39" s="76">
        <f t="shared" si="22"/>
        <v>0</v>
      </c>
      <c r="N39" s="76">
        <f t="shared" si="22"/>
        <v>0</v>
      </c>
      <c r="O39" s="76">
        <f t="shared" si="22"/>
        <v>0</v>
      </c>
      <c r="P39" s="76">
        <f t="shared" si="22"/>
        <v>0</v>
      </c>
      <c r="Q39" s="76">
        <f t="shared" si="22"/>
        <v>0</v>
      </c>
      <c r="R39" s="76">
        <f t="shared" si="22"/>
        <v>0</v>
      </c>
      <c r="S39" s="73">
        <f t="shared" si="17"/>
        <v>0</v>
      </c>
      <c r="T39" s="73">
        <f t="shared" si="18"/>
        <v>0</v>
      </c>
      <c r="U39" s="76">
        <f t="shared" si="19"/>
        <v>0</v>
      </c>
      <c r="V39" s="76" t="e">
        <f t="shared" si="23"/>
        <v>#DIV/0!</v>
      </c>
      <c r="W39" s="76" t="e">
        <f t="shared" si="23"/>
        <v>#DIV/0!</v>
      </c>
      <c r="X39" s="76" t="e">
        <f t="shared" si="23"/>
        <v>#DIV/0!</v>
      </c>
      <c r="Y39" s="76" t="e">
        <f t="shared" si="23"/>
        <v>#DIV/0!</v>
      </c>
      <c r="Z39" s="76" t="e">
        <f t="shared" si="23"/>
        <v>#DIV/0!</v>
      </c>
      <c r="AA39" s="76" t="e">
        <f t="shared" si="23"/>
        <v>#DIV/0!</v>
      </c>
      <c r="AB39" s="76" t="e">
        <f t="shared" si="23"/>
        <v>#DIV/0!</v>
      </c>
      <c r="AC39" s="76" t="e">
        <f t="shared" si="23"/>
        <v>#DIV/0!</v>
      </c>
      <c r="AD39" s="76" t="e">
        <f t="shared" si="23"/>
        <v>#DIV/0!</v>
      </c>
      <c r="AE39" s="96"/>
    </row>
    <row r="40" spans="1:31" outlineLevel="1">
      <c r="A40" s="72" t="s">
        <v>52</v>
      </c>
      <c r="B40" s="95"/>
      <c r="C40" s="95"/>
      <c r="D40" s="95"/>
      <c r="E40" s="95"/>
      <c r="F40" s="95"/>
      <c r="G40" s="95"/>
      <c r="H40" s="95"/>
      <c r="I40" s="95"/>
      <c r="J40" s="73"/>
      <c r="K40" s="76">
        <f t="shared" si="22"/>
        <v>0</v>
      </c>
      <c r="L40" s="76">
        <f t="shared" si="22"/>
        <v>14707077</v>
      </c>
      <c r="M40" s="76">
        <f t="shared" si="22"/>
        <v>-84995.895202925429</v>
      </c>
      <c r="N40" s="76">
        <f t="shared" si="22"/>
        <v>-69911.67869958654</v>
      </c>
      <c r="O40" s="76">
        <f t="shared" si="22"/>
        <v>-5446099.621897975</v>
      </c>
      <c r="P40" s="76">
        <f t="shared" si="22"/>
        <v>-205475.74020045437</v>
      </c>
      <c r="Q40" s="76">
        <f t="shared" si="22"/>
        <v>2593628.8900002912</v>
      </c>
      <c r="R40" s="76">
        <f t="shared" si="22"/>
        <v>-11494222.95399935</v>
      </c>
      <c r="S40" s="73">
        <f t="shared" si="17"/>
        <v>-642570.80920013005</v>
      </c>
      <c r="T40" s="73">
        <f t="shared" si="18"/>
        <v>-77453.786951255985</v>
      </c>
      <c r="U40" s="76">
        <f t="shared" si="19"/>
        <v>14242354.278292464</v>
      </c>
      <c r="V40" s="76">
        <f t="shared" si="23"/>
        <v>-75203.129692155868</v>
      </c>
      <c r="W40" s="76" t="e">
        <f t="shared" si="23"/>
        <v>#DIV/0!</v>
      </c>
      <c r="X40" s="76" t="e">
        <f t="shared" si="23"/>
        <v>#DIV/0!</v>
      </c>
      <c r="Y40" s="76" t="e">
        <f t="shared" si="23"/>
        <v>#DIV/0!</v>
      </c>
      <c r="Z40" s="76" t="e">
        <f t="shared" si="23"/>
        <v>#DIV/0!</v>
      </c>
      <c r="AA40" s="76" t="e">
        <f t="shared" si="23"/>
        <v>#DIV/0!</v>
      </c>
      <c r="AB40" s="76" t="e">
        <f t="shared" si="23"/>
        <v>#DIV/0!</v>
      </c>
      <c r="AC40" s="76" t="e">
        <f t="shared" si="23"/>
        <v>#DIV/0!</v>
      </c>
      <c r="AD40" s="76" t="e">
        <f t="shared" si="23"/>
        <v>#DIV/0!</v>
      </c>
      <c r="AE40" s="96"/>
    </row>
    <row r="41" spans="1:31" outlineLevel="1">
      <c r="A41" s="72" t="s">
        <v>60</v>
      </c>
      <c r="B41" s="95"/>
      <c r="C41" s="95"/>
      <c r="D41" s="95"/>
      <c r="E41" s="95"/>
      <c r="F41" s="95"/>
      <c r="G41" s="95"/>
      <c r="H41" s="95"/>
      <c r="I41" s="95"/>
      <c r="J41" s="73"/>
      <c r="K41" s="76">
        <f t="shared" si="22"/>
        <v>0</v>
      </c>
      <c r="L41" s="76">
        <f t="shared" si="22"/>
        <v>0</v>
      </c>
      <c r="M41" s="76">
        <f t="shared" si="22"/>
        <v>0</v>
      </c>
      <c r="N41" s="76">
        <f t="shared" si="22"/>
        <v>0</v>
      </c>
      <c r="O41" s="76">
        <f t="shared" si="22"/>
        <v>0</v>
      </c>
      <c r="P41" s="76">
        <f t="shared" si="22"/>
        <v>0</v>
      </c>
      <c r="Q41" s="76">
        <f t="shared" si="22"/>
        <v>0</v>
      </c>
      <c r="R41" s="76">
        <f t="shared" si="22"/>
        <v>0</v>
      </c>
      <c r="S41" s="73">
        <f t="shared" si="17"/>
        <v>0</v>
      </c>
      <c r="T41" s="73">
        <f t="shared" si="18"/>
        <v>0</v>
      </c>
      <c r="U41" s="76">
        <f t="shared" si="19"/>
        <v>0</v>
      </c>
      <c r="V41" s="76" t="e">
        <f t="shared" si="23"/>
        <v>#DIV/0!</v>
      </c>
      <c r="W41" s="76" t="e">
        <f t="shared" si="23"/>
        <v>#DIV/0!</v>
      </c>
      <c r="X41" s="76" t="e">
        <f t="shared" si="23"/>
        <v>#DIV/0!</v>
      </c>
      <c r="Y41" s="76" t="e">
        <f t="shared" si="23"/>
        <v>#DIV/0!</v>
      </c>
      <c r="Z41" s="76" t="e">
        <f t="shared" si="23"/>
        <v>#DIV/0!</v>
      </c>
      <c r="AA41" s="76" t="e">
        <f t="shared" si="23"/>
        <v>#DIV/0!</v>
      </c>
      <c r="AB41" s="76" t="e">
        <f t="shared" si="23"/>
        <v>#DIV/0!</v>
      </c>
      <c r="AC41" s="76" t="e">
        <f t="shared" si="23"/>
        <v>#DIV/0!</v>
      </c>
      <c r="AD41" s="76" t="e">
        <f t="shared" si="23"/>
        <v>#DIV/0!</v>
      </c>
      <c r="AE41" s="96"/>
    </row>
    <row r="42" spans="1:31" outlineLevel="1">
      <c r="A42" s="72" t="s">
        <v>58</v>
      </c>
      <c r="B42" s="95"/>
      <c r="C42" s="95"/>
      <c r="D42" s="95"/>
      <c r="E42" s="95"/>
      <c r="F42" s="95"/>
      <c r="G42" s="95"/>
      <c r="H42" s="95"/>
      <c r="I42" s="95"/>
      <c r="J42" s="73"/>
      <c r="K42" s="76">
        <f t="shared" si="22"/>
        <v>0</v>
      </c>
      <c r="L42" s="76">
        <f t="shared" si="22"/>
        <v>6811441</v>
      </c>
      <c r="M42" s="76">
        <f t="shared" si="22"/>
        <v>-890361</v>
      </c>
      <c r="N42" s="76">
        <f t="shared" si="22"/>
        <v>-40433</v>
      </c>
      <c r="O42" s="76">
        <f t="shared" si="22"/>
        <v>-1790508</v>
      </c>
      <c r="P42" s="76">
        <f t="shared" si="22"/>
        <v>-579232</v>
      </c>
      <c r="Q42" s="76">
        <f t="shared" si="22"/>
        <v>1359218</v>
      </c>
      <c r="R42" s="76">
        <f t="shared" si="22"/>
        <v>-4870125</v>
      </c>
      <c r="S42" s="73">
        <f t="shared" si="17"/>
        <v>-388263.2</v>
      </c>
      <c r="T42" s="73">
        <f t="shared" si="18"/>
        <v>-465397</v>
      </c>
      <c r="U42" s="76">
        <f t="shared" si="19"/>
        <v>4019059</v>
      </c>
      <c r="V42" s="76">
        <f t="shared" si="23"/>
        <v>-276399.05753809586</v>
      </c>
      <c r="W42" s="76" t="e">
        <f t="shared" si="23"/>
        <v>#DIV/0!</v>
      </c>
      <c r="X42" s="76" t="e">
        <f t="shared" si="23"/>
        <v>#DIV/0!</v>
      </c>
      <c r="Y42" s="76" t="e">
        <f t="shared" si="23"/>
        <v>#DIV/0!</v>
      </c>
      <c r="Z42" s="76" t="e">
        <f t="shared" si="23"/>
        <v>#DIV/0!</v>
      </c>
      <c r="AA42" s="76" t="e">
        <f t="shared" si="23"/>
        <v>#DIV/0!</v>
      </c>
      <c r="AB42" s="76" t="e">
        <f t="shared" si="23"/>
        <v>#DIV/0!</v>
      </c>
      <c r="AC42" s="76" t="e">
        <f t="shared" si="23"/>
        <v>#DIV/0!</v>
      </c>
      <c r="AD42" s="76" t="e">
        <f t="shared" si="23"/>
        <v>#DIV/0!</v>
      </c>
      <c r="AE42" s="96"/>
    </row>
    <row r="43" spans="1:31" outlineLevel="1">
      <c r="A43" s="72" t="s">
        <v>49</v>
      </c>
      <c r="B43" s="95"/>
      <c r="C43" s="95"/>
      <c r="D43" s="95"/>
      <c r="E43" s="95"/>
      <c r="F43" s="95"/>
      <c r="G43" s="95"/>
      <c r="H43" s="95"/>
      <c r="I43" s="95"/>
      <c r="J43" s="73"/>
      <c r="K43" s="76">
        <f t="shared" si="22"/>
        <v>0</v>
      </c>
      <c r="L43" s="76">
        <f t="shared" si="22"/>
        <v>0</v>
      </c>
      <c r="M43" s="76">
        <f t="shared" si="22"/>
        <v>0</v>
      </c>
      <c r="N43" s="76">
        <f t="shared" si="22"/>
        <v>0</v>
      </c>
      <c r="O43" s="76">
        <f t="shared" si="22"/>
        <v>0</v>
      </c>
      <c r="P43" s="76">
        <f t="shared" si="22"/>
        <v>0</v>
      </c>
      <c r="Q43" s="76">
        <f t="shared" si="22"/>
        <v>0</v>
      </c>
      <c r="R43" s="76">
        <f t="shared" si="22"/>
        <v>0</v>
      </c>
      <c r="S43" s="73">
        <f t="shared" si="17"/>
        <v>0</v>
      </c>
      <c r="T43" s="73">
        <f t="shared" si="18"/>
        <v>0</v>
      </c>
      <c r="U43" s="76">
        <f t="shared" si="19"/>
        <v>0</v>
      </c>
      <c r="V43" s="76" t="e">
        <f t="shared" si="23"/>
        <v>#DIV/0!</v>
      </c>
      <c r="W43" s="76" t="e">
        <f t="shared" si="23"/>
        <v>#DIV/0!</v>
      </c>
      <c r="X43" s="76" t="e">
        <f t="shared" si="23"/>
        <v>#DIV/0!</v>
      </c>
      <c r="Y43" s="76" t="e">
        <f t="shared" si="23"/>
        <v>#DIV/0!</v>
      </c>
      <c r="Z43" s="76" t="e">
        <f t="shared" si="23"/>
        <v>#DIV/0!</v>
      </c>
      <c r="AA43" s="76" t="e">
        <f t="shared" si="23"/>
        <v>#DIV/0!</v>
      </c>
      <c r="AB43" s="76" t="e">
        <f t="shared" si="23"/>
        <v>#DIV/0!</v>
      </c>
      <c r="AC43" s="76" t="e">
        <f t="shared" si="23"/>
        <v>#DIV/0!</v>
      </c>
      <c r="AD43" s="76" t="e">
        <f t="shared" si="23"/>
        <v>#DIV/0!</v>
      </c>
      <c r="AE43" s="96"/>
    </row>
    <row r="44" spans="1:31" outlineLevel="1">
      <c r="A44" s="72" t="s">
        <v>53</v>
      </c>
      <c r="B44" s="95"/>
      <c r="C44" s="95"/>
      <c r="D44" s="95"/>
      <c r="E44" s="95"/>
      <c r="F44" s="95"/>
      <c r="G44" s="95"/>
      <c r="H44" s="95"/>
      <c r="I44" s="95"/>
      <c r="J44" s="73"/>
      <c r="K44" s="76">
        <f t="shared" si="22"/>
        <v>0</v>
      </c>
      <c r="L44" s="76">
        <f t="shared" si="22"/>
        <v>0</v>
      </c>
      <c r="M44" s="76">
        <f t="shared" si="22"/>
        <v>0</v>
      </c>
      <c r="N44" s="76">
        <f t="shared" si="22"/>
        <v>13144555</v>
      </c>
      <c r="O44" s="76">
        <f t="shared" si="22"/>
        <v>-5249213</v>
      </c>
      <c r="P44" s="76">
        <f t="shared" si="22"/>
        <v>-1428294</v>
      </c>
      <c r="Q44" s="76">
        <f t="shared" si="22"/>
        <v>3688763</v>
      </c>
      <c r="R44" s="76">
        <f t="shared" si="22"/>
        <v>1960879</v>
      </c>
      <c r="S44" s="73">
        <f t="shared" si="17"/>
        <v>2031162.2</v>
      </c>
      <c r="T44" s="73">
        <f t="shared" si="18"/>
        <v>6572277.5</v>
      </c>
      <c r="U44" s="76">
        <f t="shared" si="19"/>
        <v>27316975</v>
      </c>
      <c r="V44" s="76" t="e">
        <f t="shared" si="23"/>
        <v>#DIV/0!</v>
      </c>
      <c r="W44" s="76" t="e">
        <f t="shared" si="23"/>
        <v>#DIV/0!</v>
      </c>
      <c r="X44" s="76" t="e">
        <f t="shared" si="23"/>
        <v>#DIV/0!</v>
      </c>
      <c r="Y44" s="76" t="e">
        <f t="shared" si="23"/>
        <v>#DIV/0!</v>
      </c>
      <c r="Z44" s="76" t="e">
        <f t="shared" si="23"/>
        <v>#DIV/0!</v>
      </c>
      <c r="AA44" s="76" t="e">
        <f t="shared" si="23"/>
        <v>#DIV/0!</v>
      </c>
      <c r="AB44" s="76" t="e">
        <f t="shared" si="23"/>
        <v>#DIV/0!</v>
      </c>
      <c r="AC44" s="76" t="e">
        <f t="shared" si="23"/>
        <v>#DIV/0!</v>
      </c>
      <c r="AD44" s="76" t="e">
        <f t="shared" si="23"/>
        <v>#DIV/0!</v>
      </c>
      <c r="AE44" s="96"/>
    </row>
    <row r="45" spans="1:31" outlineLevel="1">
      <c r="A45" s="72" t="s">
        <v>42</v>
      </c>
      <c r="B45" s="95"/>
      <c r="C45" s="95"/>
      <c r="D45" s="95"/>
      <c r="E45" s="95"/>
      <c r="F45" s="95"/>
      <c r="G45" s="95"/>
      <c r="H45" s="95"/>
      <c r="I45" s="95"/>
      <c r="J45" s="73"/>
      <c r="K45" s="76">
        <f t="shared" si="22"/>
        <v>0</v>
      </c>
      <c r="L45" s="76">
        <f t="shared" si="22"/>
        <v>0</v>
      </c>
      <c r="M45" s="76">
        <f t="shared" si="22"/>
        <v>15360000</v>
      </c>
      <c r="N45" s="76">
        <f t="shared" si="22"/>
        <v>6201000</v>
      </c>
      <c r="O45" s="76">
        <f t="shared" si="22"/>
        <v>-12508000</v>
      </c>
      <c r="P45" s="76">
        <f t="shared" si="22"/>
        <v>-720000</v>
      </c>
      <c r="Q45" s="76">
        <f t="shared" si="22"/>
        <v>4820714</v>
      </c>
      <c r="R45" s="76">
        <f t="shared" si="22"/>
        <v>-586274</v>
      </c>
      <c r="S45" s="73">
        <f t="shared" si="17"/>
        <v>2630742.7999999998</v>
      </c>
      <c r="T45" s="73">
        <f t="shared" si="18"/>
        <v>10780500</v>
      </c>
      <c r="U45" s="76">
        <f t="shared" si="19"/>
        <v>52115560</v>
      </c>
      <c r="V45" s="76" t="e">
        <f t="shared" si="23"/>
        <v>#DIV/0!</v>
      </c>
      <c r="W45" s="76" t="e">
        <f t="shared" si="23"/>
        <v>#DIV/0!</v>
      </c>
      <c r="X45" s="76" t="e">
        <f t="shared" si="23"/>
        <v>#DIV/0!</v>
      </c>
      <c r="Y45" s="76" t="e">
        <f t="shared" si="23"/>
        <v>#DIV/0!</v>
      </c>
      <c r="Z45" s="76" t="e">
        <f t="shared" si="23"/>
        <v>#DIV/0!</v>
      </c>
      <c r="AA45" s="76" t="e">
        <f t="shared" si="23"/>
        <v>#DIV/0!</v>
      </c>
      <c r="AB45" s="76" t="e">
        <f t="shared" si="23"/>
        <v>#DIV/0!</v>
      </c>
      <c r="AC45" s="76" t="e">
        <f t="shared" si="23"/>
        <v>#DIV/0!</v>
      </c>
      <c r="AD45" s="76" t="e">
        <f t="shared" si="23"/>
        <v>#DIV/0!</v>
      </c>
      <c r="AE45" s="96"/>
    </row>
    <row r="46" spans="1:31" outlineLevel="1">
      <c r="A46" s="72" t="s">
        <v>54</v>
      </c>
      <c r="B46" s="95"/>
      <c r="C46" s="95"/>
      <c r="D46" s="95"/>
      <c r="E46" s="95"/>
      <c r="F46" s="95"/>
      <c r="G46" s="95"/>
      <c r="H46" s="95"/>
      <c r="I46" s="95"/>
      <c r="J46" s="73"/>
      <c r="K46" s="76">
        <f t="shared" si="22"/>
        <v>0</v>
      </c>
      <c r="L46" s="76">
        <f t="shared" si="22"/>
        <v>0</v>
      </c>
      <c r="M46" s="76">
        <f t="shared" si="22"/>
        <v>0</v>
      </c>
      <c r="N46" s="76">
        <f t="shared" si="22"/>
        <v>0</v>
      </c>
      <c r="O46" s="76">
        <f t="shared" si="22"/>
        <v>0</v>
      </c>
      <c r="P46" s="76">
        <f t="shared" si="22"/>
        <v>0</v>
      </c>
      <c r="Q46" s="76">
        <f t="shared" si="22"/>
        <v>0</v>
      </c>
      <c r="R46" s="76">
        <f t="shared" si="22"/>
        <v>0</v>
      </c>
      <c r="S46" s="73">
        <f t="shared" si="17"/>
        <v>0</v>
      </c>
      <c r="T46" s="73">
        <f t="shared" si="18"/>
        <v>0</v>
      </c>
      <c r="U46" s="76">
        <f t="shared" si="19"/>
        <v>0</v>
      </c>
      <c r="V46" s="76" t="e">
        <f t="shared" si="23"/>
        <v>#DIV/0!</v>
      </c>
      <c r="W46" s="76" t="e">
        <f t="shared" si="23"/>
        <v>#DIV/0!</v>
      </c>
      <c r="X46" s="76" t="e">
        <f t="shared" si="23"/>
        <v>#DIV/0!</v>
      </c>
      <c r="Y46" s="76" t="e">
        <f t="shared" si="23"/>
        <v>#DIV/0!</v>
      </c>
      <c r="Z46" s="76" t="e">
        <f t="shared" si="23"/>
        <v>#DIV/0!</v>
      </c>
      <c r="AA46" s="76" t="e">
        <f t="shared" si="23"/>
        <v>#DIV/0!</v>
      </c>
      <c r="AB46" s="76" t="e">
        <f t="shared" si="23"/>
        <v>#DIV/0!</v>
      </c>
      <c r="AC46" s="76" t="e">
        <f t="shared" si="23"/>
        <v>#DIV/0!</v>
      </c>
      <c r="AD46" s="76" t="e">
        <f t="shared" si="23"/>
        <v>#DIV/0!</v>
      </c>
      <c r="AE46" s="96"/>
    </row>
    <row r="47" spans="1:31" outlineLevel="1">
      <c r="A47" s="72" t="s">
        <v>438</v>
      </c>
      <c r="B47" s="95"/>
      <c r="C47" s="95"/>
      <c r="D47" s="95"/>
      <c r="E47" s="95"/>
      <c r="F47" s="95"/>
      <c r="G47" s="95"/>
      <c r="H47" s="95"/>
      <c r="I47" s="95"/>
      <c r="J47" s="73"/>
      <c r="K47" s="76">
        <f t="shared" ref="K47:R48" si="24">K24-J24</f>
        <v>0</v>
      </c>
      <c r="L47" s="76">
        <f t="shared" si="24"/>
        <v>0</v>
      </c>
      <c r="M47" s="76">
        <f t="shared" si="24"/>
        <v>0</v>
      </c>
      <c r="N47" s="76">
        <f t="shared" si="24"/>
        <v>0</v>
      </c>
      <c r="O47" s="76">
        <f t="shared" si="24"/>
        <v>0</v>
      </c>
      <c r="P47" s="76">
        <f t="shared" si="24"/>
        <v>0</v>
      </c>
      <c r="Q47" s="76">
        <f t="shared" si="24"/>
        <v>0</v>
      </c>
      <c r="R47" s="76">
        <f t="shared" si="24"/>
        <v>0</v>
      </c>
      <c r="S47" s="73">
        <f t="shared" si="17"/>
        <v>0</v>
      </c>
      <c r="T47" s="73">
        <f t="shared" si="18"/>
        <v>0</v>
      </c>
      <c r="U47" s="76">
        <f t="shared" si="19"/>
        <v>0</v>
      </c>
      <c r="V47" s="76" t="e">
        <f t="shared" ref="V47:AD48" si="25">V24-U24</f>
        <v>#DIV/0!</v>
      </c>
      <c r="W47" s="76" t="e">
        <f t="shared" si="25"/>
        <v>#DIV/0!</v>
      </c>
      <c r="X47" s="76" t="e">
        <f t="shared" si="25"/>
        <v>#DIV/0!</v>
      </c>
      <c r="Y47" s="76" t="e">
        <f t="shared" si="25"/>
        <v>#DIV/0!</v>
      </c>
      <c r="Z47" s="76" t="e">
        <f t="shared" si="25"/>
        <v>#DIV/0!</v>
      </c>
      <c r="AA47" s="76" t="e">
        <f t="shared" si="25"/>
        <v>#DIV/0!</v>
      </c>
      <c r="AB47" s="76" t="e">
        <f t="shared" si="25"/>
        <v>#DIV/0!</v>
      </c>
      <c r="AC47" s="76" t="e">
        <f t="shared" si="25"/>
        <v>#DIV/0!</v>
      </c>
      <c r="AD47" s="76" t="e">
        <f t="shared" si="25"/>
        <v>#DIV/0!</v>
      </c>
      <c r="AE47" s="96"/>
    </row>
    <row r="48" spans="1:31" outlineLevel="1">
      <c r="A48" s="72"/>
      <c r="B48" s="95"/>
      <c r="C48" s="95"/>
      <c r="D48" s="95"/>
      <c r="E48" s="95"/>
      <c r="F48" s="95"/>
      <c r="G48" s="95"/>
      <c r="H48" s="95"/>
      <c r="I48" s="95"/>
      <c r="J48" s="73"/>
      <c r="K48" s="76">
        <f t="shared" si="24"/>
        <v>0</v>
      </c>
      <c r="L48" s="76">
        <f t="shared" si="24"/>
        <v>950169095.25547528</v>
      </c>
      <c r="M48" s="76">
        <f t="shared" si="24"/>
        <v>26830161.793540835</v>
      </c>
      <c r="N48" s="76">
        <f t="shared" si="24"/>
        <v>53396342.009840488</v>
      </c>
      <c r="O48" s="76">
        <f t="shared" si="24"/>
        <v>-257846852.66166556</v>
      </c>
      <c r="P48" s="76">
        <f t="shared" si="24"/>
        <v>-62549580.227471709</v>
      </c>
      <c r="Q48" s="76">
        <f t="shared" si="24"/>
        <v>357171481.16934633</v>
      </c>
      <c r="R48" s="76">
        <f t="shared" si="24"/>
        <v>-973365507.33906567</v>
      </c>
      <c r="S48" s="73">
        <f t="shared" si="17"/>
        <v>23400310.416718077</v>
      </c>
      <c r="T48" s="73">
        <f t="shared" si="18"/>
        <v>40113251.901690662</v>
      </c>
      <c r="U48" s="76">
        <f t="shared" si="19"/>
        <v>1097741846.1256192</v>
      </c>
      <c r="V48" s="76" t="e">
        <f t="shared" si="25"/>
        <v>#DIV/0!</v>
      </c>
      <c r="W48" s="76" t="e">
        <f t="shared" si="25"/>
        <v>#DIV/0!</v>
      </c>
      <c r="X48" s="76" t="e">
        <f t="shared" si="25"/>
        <v>#DIV/0!</v>
      </c>
      <c r="Y48" s="76" t="e">
        <f t="shared" si="25"/>
        <v>#DIV/0!</v>
      </c>
      <c r="Z48" s="76" t="e">
        <f t="shared" si="25"/>
        <v>#DIV/0!</v>
      </c>
      <c r="AA48" s="76" t="e">
        <f t="shared" si="25"/>
        <v>#DIV/0!</v>
      </c>
      <c r="AB48" s="76" t="e">
        <f t="shared" si="25"/>
        <v>#DIV/0!</v>
      </c>
      <c r="AC48" s="76" t="e">
        <f t="shared" si="25"/>
        <v>#DIV/0!</v>
      </c>
      <c r="AD48" s="76" t="e">
        <f t="shared" si="25"/>
        <v>#DIV/0!</v>
      </c>
      <c r="AE48" s="96"/>
    </row>
    <row r="49" spans="1:31" s="159" customFormat="1">
      <c r="A49" s="74" t="s">
        <v>203</v>
      </c>
      <c r="B49" s="74"/>
      <c r="C49" s="74"/>
      <c r="D49" s="74"/>
      <c r="E49" s="74"/>
      <c r="F49" s="74"/>
      <c r="G49" s="74"/>
      <c r="H49" s="74"/>
      <c r="I49" s="74"/>
      <c r="J49" s="75"/>
      <c r="K49" s="75">
        <f t="shared" ref="K49:R49" si="26">SUM(K30:K48)</f>
        <v>0</v>
      </c>
      <c r="L49" s="75">
        <f t="shared" si="26"/>
        <v>1900338190.5109506</v>
      </c>
      <c r="M49" s="75">
        <f t="shared" si="26"/>
        <v>53660323.587081619</v>
      </c>
      <c r="N49" s="75">
        <f t="shared" si="26"/>
        <v>106792684.01968101</v>
      </c>
      <c r="O49" s="75">
        <f t="shared" si="26"/>
        <v>-515693705.323331</v>
      </c>
      <c r="P49" s="75">
        <f t="shared" si="26"/>
        <v>-125099160.45494348</v>
      </c>
      <c r="Q49" s="75">
        <f t="shared" si="26"/>
        <v>714342962.33869255</v>
      </c>
      <c r="R49" s="75">
        <f t="shared" si="26"/>
        <v>-1946731014.6781313</v>
      </c>
      <c r="S49" s="101">
        <f>AVERAGE(M49:Q49)</f>
        <v>46800620.833436146</v>
      </c>
      <c r="T49" s="101">
        <f>AVERAGE(M49:N49)</f>
        <v>80226503.803381309</v>
      </c>
      <c r="U49" s="109">
        <f>U25-R25</f>
        <v>1097741846.1256192</v>
      </c>
      <c r="V49" s="109" t="e">
        <f t="shared" ref="V49:AD49" si="27">V25-U25</f>
        <v>#DIV/0!</v>
      </c>
      <c r="W49" s="109" t="e">
        <f t="shared" si="27"/>
        <v>#DIV/0!</v>
      </c>
      <c r="X49" s="109" t="e">
        <f t="shared" si="27"/>
        <v>#DIV/0!</v>
      </c>
      <c r="Y49" s="109" t="e">
        <f t="shared" si="27"/>
        <v>#DIV/0!</v>
      </c>
      <c r="Z49" s="109" t="e">
        <f t="shared" si="27"/>
        <v>#DIV/0!</v>
      </c>
      <c r="AA49" s="109" t="e">
        <f t="shared" si="27"/>
        <v>#DIV/0!</v>
      </c>
      <c r="AB49" s="109" t="e">
        <f t="shared" si="27"/>
        <v>#DIV/0!</v>
      </c>
      <c r="AC49" s="109" t="e">
        <f t="shared" si="27"/>
        <v>#DIV/0!</v>
      </c>
      <c r="AD49" s="109" t="e">
        <f t="shared" si="27"/>
        <v>#DIV/0!</v>
      </c>
      <c r="AE49" s="162"/>
    </row>
    <row r="51" spans="1:31">
      <c r="A51" s="71">
        <v>3</v>
      </c>
      <c r="B51" s="71" t="s">
        <v>264</v>
      </c>
      <c r="C51" s="71"/>
      <c r="D51" s="71"/>
      <c r="E51" s="71"/>
      <c r="F51" s="71"/>
      <c r="G51" s="71"/>
      <c r="H51" s="71"/>
      <c r="I51" s="71"/>
      <c r="J51" s="1910" t="s">
        <v>444</v>
      </c>
      <c r="K51" s="1910"/>
      <c r="L51" s="1910"/>
      <c r="M51" s="1910"/>
      <c r="N51" s="1910"/>
      <c r="O51" s="1910"/>
      <c r="P51" s="1910"/>
      <c r="Q51" s="1910"/>
      <c r="R51" s="86"/>
      <c r="S51" s="86"/>
      <c r="T51" s="161"/>
      <c r="U51" s="161"/>
      <c r="V51" s="161"/>
      <c r="W51" s="161"/>
      <c r="X51" s="161"/>
      <c r="Y51" s="161"/>
      <c r="Z51" s="161"/>
      <c r="AA51" s="161"/>
      <c r="AB51" s="161"/>
      <c r="AC51" s="161"/>
      <c r="AD51" s="161"/>
      <c r="AE51" s="161"/>
    </row>
    <row r="52" spans="1:31">
      <c r="A52" s="71"/>
      <c r="B52" s="71" t="s">
        <v>357</v>
      </c>
      <c r="C52" s="71"/>
      <c r="D52" s="71">
        <v>2009</v>
      </c>
      <c r="E52" s="71">
        <v>2010</v>
      </c>
      <c r="F52" s="71">
        <v>2011</v>
      </c>
      <c r="G52" s="71">
        <v>2012</v>
      </c>
      <c r="H52" s="71">
        <v>2013</v>
      </c>
      <c r="I52" s="71">
        <v>2014</v>
      </c>
      <c r="J52" s="72">
        <v>2015</v>
      </c>
      <c r="K52" s="72" t="s">
        <v>303</v>
      </c>
      <c r="L52" s="72" t="s">
        <v>304</v>
      </c>
      <c r="M52" s="72" t="s">
        <v>305</v>
      </c>
      <c r="N52" s="72" t="s">
        <v>306</v>
      </c>
      <c r="O52" s="72" t="s">
        <v>307</v>
      </c>
      <c r="P52" s="72" t="s">
        <v>308</v>
      </c>
      <c r="Q52" s="72" t="s">
        <v>309</v>
      </c>
      <c r="R52" s="72" t="s">
        <v>340</v>
      </c>
      <c r="S52" s="72" t="s">
        <v>153</v>
      </c>
      <c r="T52" s="72" t="s">
        <v>356</v>
      </c>
      <c r="U52" s="72" t="s">
        <v>341</v>
      </c>
      <c r="V52" s="72" t="s">
        <v>342</v>
      </c>
      <c r="W52" s="72" t="s">
        <v>343</v>
      </c>
      <c r="X52" s="72" t="s">
        <v>344</v>
      </c>
      <c r="Y52" s="72" t="s">
        <v>345</v>
      </c>
      <c r="Z52" s="72" t="s">
        <v>346</v>
      </c>
      <c r="AA52" s="72" t="s">
        <v>347</v>
      </c>
      <c r="AB52" s="72" t="s">
        <v>348</v>
      </c>
      <c r="AC52" s="72" t="s">
        <v>349</v>
      </c>
      <c r="AD52" s="72" t="s">
        <v>350</v>
      </c>
      <c r="AE52" s="72" t="s">
        <v>353</v>
      </c>
    </row>
    <row r="53" spans="1:31">
      <c r="A53" s="71" t="s">
        <v>16</v>
      </c>
      <c r="B53" s="92"/>
      <c r="C53" s="92"/>
      <c r="D53" s="92"/>
      <c r="E53" s="77">
        <f t="shared" ref="E53:K53" si="28">E29/D6</f>
        <v>-7.0984915705412602E-3</v>
      </c>
      <c r="F53" s="77">
        <f t="shared" si="28"/>
        <v>4.736371760500447E-2</v>
      </c>
      <c r="G53" s="77">
        <f t="shared" si="28"/>
        <v>-2.9863481228668942E-2</v>
      </c>
      <c r="H53" s="77">
        <f t="shared" si="28"/>
        <v>7.0360598065083556E-3</v>
      </c>
      <c r="I53" s="77">
        <f t="shared" si="28"/>
        <v>-2.2707423580786028E-2</v>
      </c>
      <c r="J53" s="77">
        <f t="shared" si="28"/>
        <v>0</v>
      </c>
      <c r="K53" s="77">
        <f t="shared" si="28"/>
        <v>6.9705093833780166E-2</v>
      </c>
      <c r="L53" s="77">
        <f t="shared" ref="L53:R54" si="29">L29/K6</f>
        <v>7.685881370091896E-2</v>
      </c>
      <c r="M53" s="77">
        <f t="shared" si="29"/>
        <v>7.7579519006982156E-3</v>
      </c>
      <c r="N53" s="77">
        <f t="shared" si="29"/>
        <v>2.1555042340261739E-2</v>
      </c>
      <c r="O53" s="77">
        <f t="shared" si="29"/>
        <v>-0.26073850791258479</v>
      </c>
      <c r="P53" s="77">
        <f t="shared" si="29"/>
        <v>-5.09683995922528E-2</v>
      </c>
      <c r="Q53" s="77">
        <f t="shared" si="29"/>
        <v>0.66702470461868957</v>
      </c>
      <c r="R53" s="77">
        <f t="shared" si="29"/>
        <v>6.8742237796849043E-2</v>
      </c>
      <c r="S53" s="98">
        <f t="shared" ref="S53:S72" si="30">AVERAGE(M53:Q53)</f>
        <v>7.6926158270962386E-2</v>
      </c>
      <c r="T53" s="98">
        <f t="shared" ref="T53:T72" si="31">AVERAGE(M53:N53)</f>
        <v>1.4656497120479978E-2</v>
      </c>
      <c r="U53" s="105">
        <f t="shared" ref="U53:U72" si="32">U29/R6</f>
        <v>1.7060728280717571E-2</v>
      </c>
      <c r="V53" s="105">
        <f t="shared" ref="V53:V72" si="33">T53</f>
        <v>1.4656497120479978E-2</v>
      </c>
      <c r="W53" s="105">
        <f t="shared" ref="W53:AD68" si="34">V53</f>
        <v>1.4656497120479978E-2</v>
      </c>
      <c r="X53" s="105">
        <f t="shared" si="34"/>
        <v>1.4656497120479978E-2</v>
      </c>
      <c r="Y53" s="105">
        <f t="shared" si="34"/>
        <v>1.4656497120479978E-2</v>
      </c>
      <c r="Z53" s="105">
        <f t="shared" si="34"/>
        <v>1.4656497120479978E-2</v>
      </c>
      <c r="AA53" s="105">
        <f t="shared" si="34"/>
        <v>1.4656497120479978E-2</v>
      </c>
      <c r="AB53" s="105">
        <f t="shared" si="34"/>
        <v>1.4656497120479978E-2</v>
      </c>
      <c r="AC53" s="105">
        <f t="shared" si="34"/>
        <v>1.4656497120479978E-2</v>
      </c>
      <c r="AD53" s="105">
        <f t="shared" si="34"/>
        <v>1.4656497120479978E-2</v>
      </c>
      <c r="AE53" s="72"/>
    </row>
    <row r="54" spans="1:31">
      <c r="A54" s="72" t="s">
        <v>40</v>
      </c>
      <c r="B54" s="92"/>
      <c r="C54" s="92"/>
      <c r="D54" s="92"/>
      <c r="E54" s="92"/>
      <c r="F54" s="92"/>
      <c r="G54" s="92"/>
      <c r="H54" s="92"/>
      <c r="I54" s="92"/>
      <c r="J54" s="76"/>
      <c r="K54" s="77" t="e">
        <f>K30/#REF!</f>
        <v>#REF!</v>
      </c>
      <c r="L54" s="77" t="e">
        <f t="shared" si="29"/>
        <v>#DIV/0!</v>
      </c>
      <c r="M54" s="77" t="e">
        <f t="shared" si="29"/>
        <v>#DIV/0!</v>
      </c>
      <c r="N54" s="77" t="e">
        <f t="shared" si="29"/>
        <v>#DIV/0!</v>
      </c>
      <c r="O54" s="77" t="e">
        <f t="shared" si="29"/>
        <v>#DIV/0!</v>
      </c>
      <c r="P54" s="77" t="e">
        <f t="shared" si="29"/>
        <v>#DIV/0!</v>
      </c>
      <c r="Q54" s="77" t="e">
        <f t="shared" si="29"/>
        <v>#DIV/0!</v>
      </c>
      <c r="R54" s="77" t="e">
        <f t="shared" si="29"/>
        <v>#DIV/0!</v>
      </c>
      <c r="S54" s="98" t="e">
        <f t="shared" si="30"/>
        <v>#DIV/0!</v>
      </c>
      <c r="T54" s="98" t="e">
        <f t="shared" si="31"/>
        <v>#DIV/0!</v>
      </c>
      <c r="U54" s="105" t="e">
        <f t="shared" si="32"/>
        <v>#DIV/0!</v>
      </c>
      <c r="V54" s="105" t="e">
        <f t="shared" si="33"/>
        <v>#DIV/0!</v>
      </c>
      <c r="W54" s="105" t="e">
        <f t="shared" si="34"/>
        <v>#DIV/0!</v>
      </c>
      <c r="X54" s="105" t="e">
        <f t="shared" si="34"/>
        <v>#DIV/0!</v>
      </c>
      <c r="Y54" s="105" t="e">
        <f t="shared" si="34"/>
        <v>#DIV/0!</v>
      </c>
      <c r="Z54" s="105" t="e">
        <f t="shared" si="34"/>
        <v>#DIV/0!</v>
      </c>
      <c r="AA54" s="105" t="e">
        <f t="shared" si="34"/>
        <v>#DIV/0!</v>
      </c>
      <c r="AB54" s="105" t="e">
        <f t="shared" si="34"/>
        <v>#DIV/0!</v>
      </c>
      <c r="AC54" s="105" t="e">
        <f t="shared" si="34"/>
        <v>#DIV/0!</v>
      </c>
      <c r="AD54" s="105" t="e">
        <f t="shared" si="34"/>
        <v>#DIV/0!</v>
      </c>
      <c r="AE54" s="71"/>
    </row>
    <row r="55" spans="1:31">
      <c r="A55" s="72" t="s">
        <v>59</v>
      </c>
      <c r="B55" s="92"/>
      <c r="C55" s="92"/>
      <c r="D55" s="92"/>
      <c r="E55" s="92"/>
      <c r="F55" s="92"/>
      <c r="G55" s="92"/>
      <c r="H55" s="92"/>
      <c r="I55" s="92"/>
      <c r="J55" s="76"/>
      <c r="K55" s="77" t="e">
        <f>K31/#REF!</f>
        <v>#REF!</v>
      </c>
      <c r="L55" s="77" t="e">
        <f t="shared" ref="L55:R70" si="35">L31/K8</f>
        <v>#DIV/0!</v>
      </c>
      <c r="M55" s="77">
        <f t="shared" si="35"/>
        <v>-2.156077084525854E-2</v>
      </c>
      <c r="N55" s="77">
        <f t="shared" si="35"/>
        <v>-2.7301092043681748E-3</v>
      </c>
      <c r="O55" s="77">
        <f t="shared" si="35"/>
        <v>-0.31482205709816191</v>
      </c>
      <c r="P55" s="77">
        <f t="shared" si="35"/>
        <v>-2.711187214611872E-2</v>
      </c>
      <c r="Q55" s="77">
        <f t="shared" si="35"/>
        <v>0.31416847169257855</v>
      </c>
      <c r="R55" s="77">
        <f t="shared" si="35"/>
        <v>0.22842535868390287</v>
      </c>
      <c r="S55" s="98">
        <f t="shared" si="30"/>
        <v>-1.0411267520265754E-2</v>
      </c>
      <c r="T55" s="98">
        <f t="shared" si="31"/>
        <v>-1.2145440024813357E-2</v>
      </c>
      <c r="U55" s="105">
        <f t="shared" si="32"/>
        <v>9.9999999999999933E-3</v>
      </c>
      <c r="V55" s="105">
        <f t="shared" si="33"/>
        <v>-1.2145440024813357E-2</v>
      </c>
      <c r="W55" s="105">
        <f t="shared" si="34"/>
        <v>-1.2145440024813357E-2</v>
      </c>
      <c r="X55" s="105">
        <f t="shared" si="34"/>
        <v>-1.2145440024813357E-2</v>
      </c>
      <c r="Y55" s="105">
        <f t="shared" si="34"/>
        <v>-1.2145440024813357E-2</v>
      </c>
      <c r="Z55" s="105">
        <f t="shared" si="34"/>
        <v>-1.2145440024813357E-2</v>
      </c>
      <c r="AA55" s="105">
        <f t="shared" si="34"/>
        <v>-1.2145440024813357E-2</v>
      </c>
      <c r="AB55" s="105">
        <f t="shared" si="34"/>
        <v>-1.2145440024813357E-2</v>
      </c>
      <c r="AC55" s="105">
        <f t="shared" si="34"/>
        <v>-1.2145440024813357E-2</v>
      </c>
      <c r="AD55" s="105">
        <f t="shared" si="34"/>
        <v>-1.2145440024813357E-2</v>
      </c>
      <c r="AE55" s="71"/>
    </row>
    <row r="56" spans="1:31">
      <c r="A56" s="72" t="s">
        <v>43</v>
      </c>
      <c r="B56" s="92"/>
      <c r="C56" s="92"/>
      <c r="D56" s="92"/>
      <c r="E56" s="92"/>
      <c r="F56" s="92"/>
      <c r="G56" s="92"/>
      <c r="H56" s="92"/>
      <c r="I56" s="92"/>
      <c r="J56" s="76"/>
      <c r="K56" s="77" t="e">
        <f>K32/#REF!</f>
        <v>#REF!</v>
      </c>
      <c r="L56" s="77" t="e">
        <f t="shared" si="35"/>
        <v>#DIV/0!</v>
      </c>
      <c r="M56" s="77">
        <f t="shared" si="35"/>
        <v>1.3600160749978019E-2</v>
      </c>
      <c r="N56" s="77">
        <f t="shared" si="35"/>
        <v>3.6513137399265413E-2</v>
      </c>
      <c r="O56" s="77">
        <f t="shared" si="35"/>
        <v>-0.23835968283159828</v>
      </c>
      <c r="P56" s="77">
        <f t="shared" si="35"/>
        <v>-8.0554287090834092E-2</v>
      </c>
      <c r="Q56" s="77">
        <f t="shared" si="35"/>
        <v>0.37044109811919912</v>
      </c>
      <c r="R56" s="77">
        <f t="shared" si="35"/>
        <v>-1</v>
      </c>
      <c r="S56" s="98">
        <f t="shared" si="30"/>
        <v>2.0328085269202035E-2</v>
      </c>
      <c r="T56" s="98">
        <f t="shared" si="31"/>
        <v>2.5056649074621715E-2</v>
      </c>
      <c r="U56" s="105" t="e">
        <f t="shared" si="32"/>
        <v>#DIV/0!</v>
      </c>
      <c r="V56" s="105">
        <f t="shared" si="33"/>
        <v>2.5056649074621715E-2</v>
      </c>
      <c r="W56" s="105">
        <f t="shared" si="34"/>
        <v>2.5056649074621715E-2</v>
      </c>
      <c r="X56" s="105">
        <f t="shared" si="34"/>
        <v>2.5056649074621715E-2</v>
      </c>
      <c r="Y56" s="105">
        <f t="shared" si="34"/>
        <v>2.5056649074621715E-2</v>
      </c>
      <c r="Z56" s="105">
        <f t="shared" si="34"/>
        <v>2.5056649074621715E-2</v>
      </c>
      <c r="AA56" s="105">
        <f t="shared" si="34"/>
        <v>2.5056649074621715E-2</v>
      </c>
      <c r="AB56" s="105">
        <f t="shared" si="34"/>
        <v>2.5056649074621715E-2</v>
      </c>
      <c r="AC56" s="105">
        <f t="shared" si="34"/>
        <v>2.5056649074621715E-2</v>
      </c>
      <c r="AD56" s="105">
        <f t="shared" si="34"/>
        <v>2.5056649074621715E-2</v>
      </c>
      <c r="AE56" s="71"/>
    </row>
    <row r="57" spans="1:31">
      <c r="A57" s="72" t="s">
        <v>44</v>
      </c>
      <c r="B57" s="92"/>
      <c r="C57" s="92"/>
      <c r="D57" s="92"/>
      <c r="E57" s="92"/>
      <c r="F57" s="92"/>
      <c r="G57" s="92"/>
      <c r="H57" s="92"/>
      <c r="I57" s="92"/>
      <c r="J57" s="76"/>
      <c r="K57" s="77" t="e">
        <f>K33/#REF!</f>
        <v>#REF!</v>
      </c>
      <c r="L57" s="77" t="e">
        <f t="shared" si="35"/>
        <v>#DIV/0!</v>
      </c>
      <c r="M57" s="77" t="e">
        <f t="shared" si="35"/>
        <v>#DIV/0!</v>
      </c>
      <c r="N57" s="77" t="e">
        <f t="shared" si="35"/>
        <v>#DIV/0!</v>
      </c>
      <c r="O57" s="77" t="e">
        <f t="shared" si="35"/>
        <v>#DIV/0!</v>
      </c>
      <c r="P57" s="77" t="e">
        <f t="shared" si="35"/>
        <v>#DIV/0!</v>
      </c>
      <c r="Q57" s="77" t="e">
        <f t="shared" si="35"/>
        <v>#DIV/0!</v>
      </c>
      <c r="R57" s="77" t="e">
        <f t="shared" si="35"/>
        <v>#DIV/0!</v>
      </c>
      <c r="S57" s="98" t="e">
        <f t="shared" si="30"/>
        <v>#DIV/0!</v>
      </c>
      <c r="T57" s="98" t="e">
        <f t="shared" si="31"/>
        <v>#DIV/0!</v>
      </c>
      <c r="U57" s="105" t="e">
        <f t="shared" si="32"/>
        <v>#DIV/0!</v>
      </c>
      <c r="V57" s="105" t="e">
        <f t="shared" si="33"/>
        <v>#DIV/0!</v>
      </c>
      <c r="W57" s="105" t="e">
        <f t="shared" si="34"/>
        <v>#DIV/0!</v>
      </c>
      <c r="X57" s="105" t="e">
        <f t="shared" si="34"/>
        <v>#DIV/0!</v>
      </c>
      <c r="Y57" s="105" t="e">
        <f t="shared" si="34"/>
        <v>#DIV/0!</v>
      </c>
      <c r="Z57" s="105" t="e">
        <f t="shared" si="34"/>
        <v>#DIV/0!</v>
      </c>
      <c r="AA57" s="105" t="e">
        <f t="shared" si="34"/>
        <v>#DIV/0!</v>
      </c>
      <c r="AB57" s="105" t="e">
        <f t="shared" si="34"/>
        <v>#DIV/0!</v>
      </c>
      <c r="AC57" s="105" t="e">
        <f t="shared" si="34"/>
        <v>#DIV/0!</v>
      </c>
      <c r="AD57" s="105" t="e">
        <f t="shared" si="34"/>
        <v>#DIV/0!</v>
      </c>
      <c r="AE57" s="71"/>
    </row>
    <row r="58" spans="1:31">
      <c r="A58" s="72" t="s">
        <v>57</v>
      </c>
      <c r="B58" s="92"/>
      <c r="C58" s="92"/>
      <c r="D58" s="92"/>
      <c r="E58" s="92"/>
      <c r="F58" s="92"/>
      <c r="G58" s="92"/>
      <c r="H58" s="92"/>
      <c r="I58" s="92"/>
      <c r="J58" s="76"/>
      <c r="K58" s="77" t="e">
        <f>K34/#REF!</f>
        <v>#REF!</v>
      </c>
      <c r="L58" s="77" t="e">
        <f t="shared" si="35"/>
        <v>#DIV/0!</v>
      </c>
      <c r="M58" s="77" t="e">
        <f t="shared" si="35"/>
        <v>#DIV/0!</v>
      </c>
      <c r="N58" s="77" t="e">
        <f t="shared" si="35"/>
        <v>#DIV/0!</v>
      </c>
      <c r="O58" s="77" t="e">
        <f t="shared" si="35"/>
        <v>#DIV/0!</v>
      </c>
      <c r="P58" s="77" t="e">
        <f t="shared" si="35"/>
        <v>#DIV/0!</v>
      </c>
      <c r="Q58" s="77" t="e">
        <f t="shared" si="35"/>
        <v>#DIV/0!</v>
      </c>
      <c r="R58" s="77" t="e">
        <f t="shared" si="35"/>
        <v>#DIV/0!</v>
      </c>
      <c r="S58" s="98" t="e">
        <f t="shared" si="30"/>
        <v>#DIV/0!</v>
      </c>
      <c r="T58" s="98" t="e">
        <f t="shared" si="31"/>
        <v>#DIV/0!</v>
      </c>
      <c r="U58" s="105" t="e">
        <f t="shared" si="32"/>
        <v>#DIV/0!</v>
      </c>
      <c r="V58" s="105" t="e">
        <f t="shared" si="33"/>
        <v>#DIV/0!</v>
      </c>
      <c r="W58" s="105" t="e">
        <f t="shared" si="34"/>
        <v>#DIV/0!</v>
      </c>
      <c r="X58" s="105" t="e">
        <f t="shared" si="34"/>
        <v>#DIV/0!</v>
      </c>
      <c r="Y58" s="105" t="e">
        <f t="shared" si="34"/>
        <v>#DIV/0!</v>
      </c>
      <c r="Z58" s="105" t="e">
        <f t="shared" si="34"/>
        <v>#DIV/0!</v>
      </c>
      <c r="AA58" s="105" t="e">
        <f t="shared" si="34"/>
        <v>#DIV/0!</v>
      </c>
      <c r="AB58" s="105" t="e">
        <f t="shared" si="34"/>
        <v>#DIV/0!</v>
      </c>
      <c r="AC58" s="105" t="e">
        <f t="shared" si="34"/>
        <v>#DIV/0!</v>
      </c>
      <c r="AD58" s="105" t="e">
        <f t="shared" si="34"/>
        <v>#DIV/0!</v>
      </c>
      <c r="AE58" s="71"/>
    </row>
    <row r="59" spans="1:31">
      <c r="A59" s="72" t="s">
        <v>55</v>
      </c>
      <c r="B59" s="92"/>
      <c r="C59" s="92"/>
      <c r="D59" s="92"/>
      <c r="E59" s="92"/>
      <c r="F59" s="92"/>
      <c r="G59" s="92"/>
      <c r="H59" s="92"/>
      <c r="I59" s="92"/>
      <c r="J59" s="76"/>
      <c r="K59" s="77" t="e">
        <f>K35/#REF!</f>
        <v>#REF!</v>
      </c>
      <c r="L59" s="77" t="e">
        <f t="shared" si="35"/>
        <v>#DIV/0!</v>
      </c>
      <c r="M59" s="77" t="e">
        <f t="shared" si="35"/>
        <v>#DIV/0!</v>
      </c>
      <c r="N59" s="77" t="e">
        <f t="shared" si="35"/>
        <v>#DIV/0!</v>
      </c>
      <c r="O59" s="77" t="e">
        <f t="shared" si="35"/>
        <v>#DIV/0!</v>
      </c>
      <c r="P59" s="77" t="e">
        <f t="shared" si="35"/>
        <v>#DIV/0!</v>
      </c>
      <c r="Q59" s="77" t="e">
        <f t="shared" si="35"/>
        <v>#DIV/0!</v>
      </c>
      <c r="R59" s="77">
        <f t="shared" si="35"/>
        <v>0.12545144154205487</v>
      </c>
      <c r="S59" s="98" t="e">
        <f t="shared" si="30"/>
        <v>#DIV/0!</v>
      </c>
      <c r="T59" s="98" t="e">
        <f t="shared" si="31"/>
        <v>#DIV/0!</v>
      </c>
      <c r="U59" s="105">
        <f t="shared" si="32"/>
        <v>-1</v>
      </c>
      <c r="V59" s="105" t="e">
        <f t="shared" si="33"/>
        <v>#DIV/0!</v>
      </c>
      <c r="W59" s="105" t="e">
        <f t="shared" si="34"/>
        <v>#DIV/0!</v>
      </c>
      <c r="X59" s="105" t="e">
        <f t="shared" si="34"/>
        <v>#DIV/0!</v>
      </c>
      <c r="Y59" s="105" t="e">
        <f t="shared" si="34"/>
        <v>#DIV/0!</v>
      </c>
      <c r="Z59" s="105" t="e">
        <f t="shared" si="34"/>
        <v>#DIV/0!</v>
      </c>
      <c r="AA59" s="105" t="e">
        <f t="shared" si="34"/>
        <v>#DIV/0!</v>
      </c>
      <c r="AB59" s="105" t="e">
        <f t="shared" si="34"/>
        <v>#DIV/0!</v>
      </c>
      <c r="AC59" s="105" t="e">
        <f t="shared" si="34"/>
        <v>#DIV/0!</v>
      </c>
      <c r="AD59" s="105" t="e">
        <f t="shared" si="34"/>
        <v>#DIV/0!</v>
      </c>
      <c r="AE59" s="71"/>
    </row>
    <row r="60" spans="1:31">
      <c r="A60" s="72" t="s">
        <v>45</v>
      </c>
      <c r="B60" s="92"/>
      <c r="C60" s="92"/>
      <c r="D60" s="92"/>
      <c r="E60" s="92"/>
      <c r="F60" s="92"/>
      <c r="G60" s="92"/>
      <c r="H60" s="92"/>
      <c r="I60" s="92"/>
      <c r="J60" s="76"/>
      <c r="K60" s="77" t="e">
        <f>K36/#REF!</f>
        <v>#REF!</v>
      </c>
      <c r="L60" s="77" t="e">
        <f t="shared" si="35"/>
        <v>#DIV/0!</v>
      </c>
      <c r="M60" s="77" t="e">
        <f t="shared" si="35"/>
        <v>#DIV/0!</v>
      </c>
      <c r="N60" s="77" t="e">
        <f t="shared" si="35"/>
        <v>#DIV/0!</v>
      </c>
      <c r="O60" s="77" t="e">
        <f t="shared" si="35"/>
        <v>#DIV/0!</v>
      </c>
      <c r="P60" s="77" t="e">
        <f t="shared" si="35"/>
        <v>#DIV/0!</v>
      </c>
      <c r="Q60" s="77" t="e">
        <f t="shared" si="35"/>
        <v>#DIV/0!</v>
      </c>
      <c r="R60" s="77">
        <f t="shared" si="35"/>
        <v>-1</v>
      </c>
      <c r="S60" s="98" t="e">
        <f t="shared" si="30"/>
        <v>#DIV/0!</v>
      </c>
      <c r="T60" s="98" t="e">
        <f t="shared" si="31"/>
        <v>#DIV/0!</v>
      </c>
      <c r="U60" s="105" t="e">
        <f t="shared" si="32"/>
        <v>#DIV/0!</v>
      </c>
      <c r="V60" s="105" t="e">
        <f t="shared" si="33"/>
        <v>#DIV/0!</v>
      </c>
      <c r="W60" s="105" t="e">
        <f t="shared" si="34"/>
        <v>#DIV/0!</v>
      </c>
      <c r="X60" s="105" t="e">
        <f t="shared" si="34"/>
        <v>#DIV/0!</v>
      </c>
      <c r="Y60" s="105" t="e">
        <f t="shared" si="34"/>
        <v>#DIV/0!</v>
      </c>
      <c r="Z60" s="105" t="e">
        <f t="shared" si="34"/>
        <v>#DIV/0!</v>
      </c>
      <c r="AA60" s="105" t="e">
        <f t="shared" si="34"/>
        <v>#DIV/0!</v>
      </c>
      <c r="AB60" s="105" t="e">
        <f t="shared" si="34"/>
        <v>#DIV/0!</v>
      </c>
      <c r="AC60" s="105" t="e">
        <f t="shared" si="34"/>
        <v>#DIV/0!</v>
      </c>
      <c r="AD60" s="105" t="e">
        <f t="shared" si="34"/>
        <v>#DIV/0!</v>
      </c>
      <c r="AE60" s="71"/>
    </row>
    <row r="61" spans="1:31" outlineLevel="1">
      <c r="A61" s="72" t="s">
        <v>48</v>
      </c>
      <c r="B61" s="95"/>
      <c r="C61" s="95"/>
      <c r="D61" s="95"/>
      <c r="E61" s="95"/>
      <c r="F61" s="95"/>
      <c r="G61" s="95"/>
      <c r="H61" s="95"/>
      <c r="I61" s="95"/>
      <c r="J61" s="73"/>
      <c r="K61" s="77" t="e">
        <f>K37/#REF!</f>
        <v>#REF!</v>
      </c>
      <c r="L61" s="77" t="e">
        <f t="shared" si="35"/>
        <v>#DIV/0!</v>
      </c>
      <c r="M61" s="77" t="e">
        <f t="shared" si="35"/>
        <v>#DIV/0!</v>
      </c>
      <c r="N61" s="77" t="e">
        <f t="shared" si="35"/>
        <v>#DIV/0!</v>
      </c>
      <c r="O61" s="77" t="e">
        <f t="shared" si="35"/>
        <v>#DIV/0!</v>
      </c>
      <c r="P61" s="77" t="e">
        <f t="shared" si="35"/>
        <v>#DIV/0!</v>
      </c>
      <c r="Q61" s="77" t="e">
        <f t="shared" si="35"/>
        <v>#DIV/0!</v>
      </c>
      <c r="R61" s="77" t="e">
        <f t="shared" si="35"/>
        <v>#DIV/0!</v>
      </c>
      <c r="S61" s="98" t="e">
        <f t="shared" si="30"/>
        <v>#DIV/0!</v>
      </c>
      <c r="T61" s="98" t="e">
        <f t="shared" si="31"/>
        <v>#DIV/0!</v>
      </c>
      <c r="U61" s="105" t="e">
        <f t="shared" si="32"/>
        <v>#DIV/0!</v>
      </c>
      <c r="V61" s="105" t="e">
        <f t="shared" si="33"/>
        <v>#DIV/0!</v>
      </c>
      <c r="W61" s="105" t="e">
        <f t="shared" si="34"/>
        <v>#DIV/0!</v>
      </c>
      <c r="X61" s="105" t="e">
        <f t="shared" si="34"/>
        <v>#DIV/0!</v>
      </c>
      <c r="Y61" s="105" t="e">
        <f t="shared" si="34"/>
        <v>#DIV/0!</v>
      </c>
      <c r="Z61" s="105" t="e">
        <f t="shared" si="34"/>
        <v>#DIV/0!</v>
      </c>
      <c r="AA61" s="105" t="e">
        <f t="shared" si="34"/>
        <v>#DIV/0!</v>
      </c>
      <c r="AB61" s="105" t="e">
        <f t="shared" si="34"/>
        <v>#DIV/0!</v>
      </c>
      <c r="AC61" s="105" t="e">
        <f t="shared" si="34"/>
        <v>#DIV/0!</v>
      </c>
      <c r="AD61" s="105" t="e">
        <f t="shared" si="34"/>
        <v>#DIV/0!</v>
      </c>
      <c r="AE61" s="96"/>
    </row>
    <row r="62" spans="1:31" outlineLevel="1">
      <c r="A62" s="72" t="s">
        <v>50</v>
      </c>
      <c r="B62" s="95"/>
      <c r="C62" s="95"/>
      <c r="D62" s="95"/>
      <c r="E62" s="95"/>
      <c r="F62" s="95"/>
      <c r="G62" s="95"/>
      <c r="H62" s="95"/>
      <c r="I62" s="95"/>
      <c r="J62" s="73"/>
      <c r="K62" s="77" t="e">
        <f>K38/#REF!</f>
        <v>#REF!</v>
      </c>
      <c r="L62" s="77" t="e">
        <f t="shared" si="35"/>
        <v>#DIV/0!</v>
      </c>
      <c r="M62" s="77" t="e">
        <f t="shared" si="35"/>
        <v>#DIV/0!</v>
      </c>
      <c r="N62" s="77" t="e">
        <f t="shared" si="35"/>
        <v>#DIV/0!</v>
      </c>
      <c r="O62" s="77" t="e">
        <f t="shared" si="35"/>
        <v>#DIV/0!</v>
      </c>
      <c r="P62" s="77" t="e">
        <f t="shared" si="35"/>
        <v>#DIV/0!</v>
      </c>
      <c r="Q62" s="77" t="e">
        <f t="shared" si="35"/>
        <v>#DIV/0!</v>
      </c>
      <c r="R62" s="77">
        <f t="shared" si="35"/>
        <v>-0.10196493055419251</v>
      </c>
      <c r="S62" s="98" t="e">
        <f t="shared" si="30"/>
        <v>#DIV/0!</v>
      </c>
      <c r="T62" s="98" t="e">
        <f t="shared" si="31"/>
        <v>#DIV/0!</v>
      </c>
      <c r="U62" s="105">
        <f t="shared" si="32"/>
        <v>-1</v>
      </c>
      <c r="V62" s="105" t="e">
        <f t="shared" si="33"/>
        <v>#DIV/0!</v>
      </c>
      <c r="W62" s="105" t="e">
        <f t="shared" si="34"/>
        <v>#DIV/0!</v>
      </c>
      <c r="X62" s="105" t="e">
        <f t="shared" si="34"/>
        <v>#DIV/0!</v>
      </c>
      <c r="Y62" s="105" t="e">
        <f t="shared" si="34"/>
        <v>#DIV/0!</v>
      </c>
      <c r="Z62" s="105" t="e">
        <f t="shared" si="34"/>
        <v>#DIV/0!</v>
      </c>
      <c r="AA62" s="105" t="e">
        <f t="shared" si="34"/>
        <v>#DIV/0!</v>
      </c>
      <c r="AB62" s="105" t="e">
        <f t="shared" si="34"/>
        <v>#DIV/0!</v>
      </c>
      <c r="AC62" s="105" t="e">
        <f t="shared" si="34"/>
        <v>#DIV/0!</v>
      </c>
      <c r="AD62" s="105" t="e">
        <f t="shared" si="34"/>
        <v>#DIV/0!</v>
      </c>
      <c r="AE62" s="96"/>
    </row>
    <row r="63" spans="1:31" outlineLevel="1">
      <c r="A63" s="72" t="s">
        <v>47</v>
      </c>
      <c r="B63" s="95"/>
      <c r="C63" s="95"/>
      <c r="D63" s="95"/>
      <c r="E63" s="95"/>
      <c r="F63" s="95"/>
      <c r="G63" s="95"/>
      <c r="H63" s="95"/>
      <c r="I63" s="95"/>
      <c r="J63" s="73"/>
      <c r="K63" s="77" t="e">
        <f>K39/#REF!</f>
        <v>#REF!</v>
      </c>
      <c r="L63" s="77" t="e">
        <f t="shared" si="35"/>
        <v>#DIV/0!</v>
      </c>
      <c r="M63" s="77" t="e">
        <f t="shared" si="35"/>
        <v>#DIV/0!</v>
      </c>
      <c r="N63" s="77" t="e">
        <f t="shared" si="35"/>
        <v>#DIV/0!</v>
      </c>
      <c r="O63" s="77" t="e">
        <f t="shared" si="35"/>
        <v>#DIV/0!</v>
      </c>
      <c r="P63" s="77" t="e">
        <f t="shared" si="35"/>
        <v>#DIV/0!</v>
      </c>
      <c r="Q63" s="77" t="e">
        <f t="shared" si="35"/>
        <v>#DIV/0!</v>
      </c>
      <c r="R63" s="77" t="e">
        <f t="shared" si="35"/>
        <v>#DIV/0!</v>
      </c>
      <c r="S63" s="98" t="e">
        <f t="shared" si="30"/>
        <v>#DIV/0!</v>
      </c>
      <c r="T63" s="98" t="e">
        <f t="shared" si="31"/>
        <v>#DIV/0!</v>
      </c>
      <c r="U63" s="105" t="e">
        <f t="shared" si="32"/>
        <v>#DIV/0!</v>
      </c>
      <c r="V63" s="105" t="e">
        <f t="shared" si="33"/>
        <v>#DIV/0!</v>
      </c>
      <c r="W63" s="105" t="e">
        <f t="shared" si="34"/>
        <v>#DIV/0!</v>
      </c>
      <c r="X63" s="105" t="e">
        <f t="shared" si="34"/>
        <v>#DIV/0!</v>
      </c>
      <c r="Y63" s="105" t="e">
        <f t="shared" si="34"/>
        <v>#DIV/0!</v>
      </c>
      <c r="Z63" s="105" t="e">
        <f t="shared" si="34"/>
        <v>#DIV/0!</v>
      </c>
      <c r="AA63" s="105" t="e">
        <f t="shared" si="34"/>
        <v>#DIV/0!</v>
      </c>
      <c r="AB63" s="105" t="e">
        <f t="shared" si="34"/>
        <v>#DIV/0!</v>
      </c>
      <c r="AC63" s="105" t="e">
        <f t="shared" si="34"/>
        <v>#DIV/0!</v>
      </c>
      <c r="AD63" s="105" t="e">
        <f t="shared" si="34"/>
        <v>#DIV/0!</v>
      </c>
      <c r="AE63" s="96"/>
    </row>
    <row r="64" spans="1:31" outlineLevel="1">
      <c r="A64" s="72" t="s">
        <v>52</v>
      </c>
      <c r="B64" s="95"/>
      <c r="C64" s="95"/>
      <c r="D64" s="95"/>
      <c r="E64" s="95"/>
      <c r="F64" s="95"/>
      <c r="G64" s="95"/>
      <c r="H64" s="95"/>
      <c r="I64" s="95"/>
      <c r="J64" s="73"/>
      <c r="K64" s="77" t="e">
        <f>K40/#REF!</f>
        <v>#REF!</v>
      </c>
      <c r="L64" s="77" t="e">
        <f t="shared" si="35"/>
        <v>#DIV/0!</v>
      </c>
      <c r="M64" s="77">
        <f t="shared" si="35"/>
        <v>-5.7792513905329679E-3</v>
      </c>
      <c r="N64" s="77">
        <f t="shared" si="35"/>
        <v>-4.7812399752488431E-3</v>
      </c>
      <c r="O64" s="77">
        <f t="shared" si="35"/>
        <v>-0.37424657880433138</v>
      </c>
      <c r="P64" s="77">
        <f t="shared" si="35"/>
        <v>-2.2564700756597937E-2</v>
      </c>
      <c r="Q64" s="77">
        <f t="shared" si="35"/>
        <v>0.29139952584636442</v>
      </c>
      <c r="R64" s="77">
        <f t="shared" si="35"/>
        <v>-1</v>
      </c>
      <c r="S64" s="98">
        <f t="shared" si="30"/>
        <v>-2.3194449016069339E-2</v>
      </c>
      <c r="T64" s="98">
        <f t="shared" si="31"/>
        <v>-5.2802456828909055E-3</v>
      </c>
      <c r="U64" s="105" t="e">
        <f t="shared" si="32"/>
        <v>#DIV/0!</v>
      </c>
      <c r="V64" s="105">
        <f t="shared" si="33"/>
        <v>-5.2802456828909055E-3</v>
      </c>
      <c r="W64" s="105">
        <f t="shared" si="34"/>
        <v>-5.2802456828909055E-3</v>
      </c>
      <c r="X64" s="105">
        <f t="shared" si="34"/>
        <v>-5.2802456828909055E-3</v>
      </c>
      <c r="Y64" s="105">
        <f t="shared" si="34"/>
        <v>-5.2802456828909055E-3</v>
      </c>
      <c r="Z64" s="105">
        <f t="shared" si="34"/>
        <v>-5.2802456828909055E-3</v>
      </c>
      <c r="AA64" s="105">
        <f t="shared" si="34"/>
        <v>-5.2802456828909055E-3</v>
      </c>
      <c r="AB64" s="105">
        <f t="shared" si="34"/>
        <v>-5.2802456828909055E-3</v>
      </c>
      <c r="AC64" s="105">
        <f t="shared" si="34"/>
        <v>-5.2802456828909055E-3</v>
      </c>
      <c r="AD64" s="105">
        <f t="shared" si="34"/>
        <v>-5.2802456828909055E-3</v>
      </c>
      <c r="AE64" s="96"/>
    </row>
    <row r="65" spans="1:31" outlineLevel="1">
      <c r="A65" s="72" t="s">
        <v>60</v>
      </c>
      <c r="B65" s="95"/>
      <c r="C65" s="95"/>
      <c r="D65" s="95"/>
      <c r="E65" s="95"/>
      <c r="F65" s="95"/>
      <c r="G65" s="95"/>
      <c r="H65" s="95"/>
      <c r="I65" s="95"/>
      <c r="J65" s="73"/>
      <c r="K65" s="77" t="e">
        <f>K41/#REF!</f>
        <v>#REF!</v>
      </c>
      <c r="L65" s="77" t="e">
        <f t="shared" si="35"/>
        <v>#DIV/0!</v>
      </c>
      <c r="M65" s="77" t="e">
        <f t="shared" si="35"/>
        <v>#DIV/0!</v>
      </c>
      <c r="N65" s="77" t="e">
        <f t="shared" si="35"/>
        <v>#DIV/0!</v>
      </c>
      <c r="O65" s="77" t="e">
        <f t="shared" si="35"/>
        <v>#DIV/0!</v>
      </c>
      <c r="P65" s="77" t="e">
        <f t="shared" si="35"/>
        <v>#DIV/0!</v>
      </c>
      <c r="Q65" s="77" t="e">
        <f t="shared" si="35"/>
        <v>#DIV/0!</v>
      </c>
      <c r="R65" s="77" t="e">
        <f t="shared" si="35"/>
        <v>#DIV/0!</v>
      </c>
      <c r="S65" s="98" t="e">
        <f t="shared" si="30"/>
        <v>#DIV/0!</v>
      </c>
      <c r="T65" s="98" t="e">
        <f t="shared" si="31"/>
        <v>#DIV/0!</v>
      </c>
      <c r="U65" s="105" t="e">
        <f t="shared" si="32"/>
        <v>#DIV/0!</v>
      </c>
      <c r="V65" s="105" t="e">
        <f t="shared" si="33"/>
        <v>#DIV/0!</v>
      </c>
      <c r="W65" s="105" t="e">
        <f t="shared" si="34"/>
        <v>#DIV/0!</v>
      </c>
      <c r="X65" s="105" t="e">
        <f t="shared" si="34"/>
        <v>#DIV/0!</v>
      </c>
      <c r="Y65" s="105" t="e">
        <f t="shared" si="34"/>
        <v>#DIV/0!</v>
      </c>
      <c r="Z65" s="105" t="e">
        <f t="shared" si="34"/>
        <v>#DIV/0!</v>
      </c>
      <c r="AA65" s="105" t="e">
        <f t="shared" si="34"/>
        <v>#DIV/0!</v>
      </c>
      <c r="AB65" s="105" t="e">
        <f t="shared" si="34"/>
        <v>#DIV/0!</v>
      </c>
      <c r="AC65" s="105" t="e">
        <f t="shared" si="34"/>
        <v>#DIV/0!</v>
      </c>
      <c r="AD65" s="105" t="e">
        <f t="shared" si="34"/>
        <v>#DIV/0!</v>
      </c>
      <c r="AE65" s="96"/>
    </row>
    <row r="66" spans="1:31" outlineLevel="1">
      <c r="A66" s="72" t="s">
        <v>58</v>
      </c>
      <c r="B66" s="95"/>
      <c r="C66" s="95"/>
      <c r="D66" s="95"/>
      <c r="E66" s="95"/>
      <c r="F66" s="95"/>
      <c r="G66" s="95"/>
      <c r="H66" s="95"/>
      <c r="I66" s="95"/>
      <c r="J66" s="73"/>
      <c r="K66" s="77" t="e">
        <f>K42/#REF!</f>
        <v>#REF!</v>
      </c>
      <c r="L66" s="77" t="e">
        <f t="shared" si="35"/>
        <v>#DIV/0!</v>
      </c>
      <c r="M66" s="77">
        <f t="shared" si="35"/>
        <v>-0.13071551232698045</v>
      </c>
      <c r="N66" s="77">
        <f t="shared" si="35"/>
        <v>-6.8286528808933506E-3</v>
      </c>
      <c r="O66" s="77">
        <f t="shared" si="35"/>
        <v>-0.30447466069634854</v>
      </c>
      <c r="P66" s="77">
        <f t="shared" si="35"/>
        <v>-0.14161670300202511</v>
      </c>
      <c r="Q66" s="77">
        <f t="shared" si="35"/>
        <v>0.38714155629870001</v>
      </c>
      <c r="R66" s="77">
        <f t="shared" si="35"/>
        <v>-1</v>
      </c>
      <c r="S66" s="98">
        <f t="shared" si="30"/>
        <v>-3.9298794521509493E-2</v>
      </c>
      <c r="T66" s="98">
        <f t="shared" si="31"/>
        <v>-6.8772082603936899E-2</v>
      </c>
      <c r="U66" s="105" t="e">
        <f t="shared" si="32"/>
        <v>#DIV/0!</v>
      </c>
      <c r="V66" s="105">
        <f t="shared" si="33"/>
        <v>-6.8772082603936899E-2</v>
      </c>
      <c r="W66" s="105">
        <f t="shared" si="34"/>
        <v>-6.8772082603936899E-2</v>
      </c>
      <c r="X66" s="105">
        <f t="shared" si="34"/>
        <v>-6.8772082603936899E-2</v>
      </c>
      <c r="Y66" s="105">
        <f t="shared" si="34"/>
        <v>-6.8772082603936899E-2</v>
      </c>
      <c r="Z66" s="105">
        <f t="shared" si="34"/>
        <v>-6.8772082603936899E-2</v>
      </c>
      <c r="AA66" s="105">
        <f t="shared" si="34"/>
        <v>-6.8772082603936899E-2</v>
      </c>
      <c r="AB66" s="105">
        <f t="shared" si="34"/>
        <v>-6.8772082603936899E-2</v>
      </c>
      <c r="AC66" s="105">
        <f t="shared" si="34"/>
        <v>-6.8772082603936899E-2</v>
      </c>
      <c r="AD66" s="105">
        <f t="shared" si="34"/>
        <v>-6.8772082603936899E-2</v>
      </c>
      <c r="AE66" s="96"/>
    </row>
    <row r="67" spans="1:31" outlineLevel="1">
      <c r="A67" s="72" t="s">
        <v>49</v>
      </c>
      <c r="B67" s="95"/>
      <c r="C67" s="95"/>
      <c r="D67" s="95"/>
      <c r="E67" s="95"/>
      <c r="F67" s="95"/>
      <c r="G67" s="95"/>
      <c r="H67" s="95"/>
      <c r="I67" s="95"/>
      <c r="J67" s="73"/>
      <c r="K67" s="77" t="e">
        <f>K43/#REF!</f>
        <v>#REF!</v>
      </c>
      <c r="L67" s="77" t="e">
        <f t="shared" si="35"/>
        <v>#DIV/0!</v>
      </c>
      <c r="M67" s="77" t="e">
        <f t="shared" si="35"/>
        <v>#DIV/0!</v>
      </c>
      <c r="N67" s="77" t="e">
        <f t="shared" si="35"/>
        <v>#DIV/0!</v>
      </c>
      <c r="O67" s="77" t="e">
        <f t="shared" si="35"/>
        <v>#DIV/0!</v>
      </c>
      <c r="P67" s="77" t="e">
        <f t="shared" si="35"/>
        <v>#DIV/0!</v>
      </c>
      <c r="Q67" s="77" t="e">
        <f t="shared" si="35"/>
        <v>#DIV/0!</v>
      </c>
      <c r="R67" s="77" t="e">
        <f t="shared" si="35"/>
        <v>#DIV/0!</v>
      </c>
      <c r="S67" s="98" t="e">
        <f t="shared" si="30"/>
        <v>#DIV/0!</v>
      </c>
      <c r="T67" s="98" t="e">
        <f t="shared" si="31"/>
        <v>#DIV/0!</v>
      </c>
      <c r="U67" s="105" t="e">
        <f t="shared" si="32"/>
        <v>#DIV/0!</v>
      </c>
      <c r="V67" s="105" t="e">
        <f t="shared" si="33"/>
        <v>#DIV/0!</v>
      </c>
      <c r="W67" s="105" t="e">
        <f t="shared" si="34"/>
        <v>#DIV/0!</v>
      </c>
      <c r="X67" s="105" t="e">
        <f t="shared" si="34"/>
        <v>#DIV/0!</v>
      </c>
      <c r="Y67" s="105" t="e">
        <f t="shared" si="34"/>
        <v>#DIV/0!</v>
      </c>
      <c r="Z67" s="105" t="e">
        <f t="shared" si="34"/>
        <v>#DIV/0!</v>
      </c>
      <c r="AA67" s="105" t="e">
        <f t="shared" si="34"/>
        <v>#DIV/0!</v>
      </c>
      <c r="AB67" s="105" t="e">
        <f t="shared" si="34"/>
        <v>#DIV/0!</v>
      </c>
      <c r="AC67" s="105" t="e">
        <f t="shared" si="34"/>
        <v>#DIV/0!</v>
      </c>
      <c r="AD67" s="105" t="e">
        <f t="shared" si="34"/>
        <v>#DIV/0!</v>
      </c>
      <c r="AE67" s="96"/>
    </row>
    <row r="68" spans="1:31" outlineLevel="1">
      <c r="A68" s="72" t="s">
        <v>53</v>
      </c>
      <c r="B68" s="95"/>
      <c r="C68" s="95"/>
      <c r="D68" s="95"/>
      <c r="E68" s="95"/>
      <c r="F68" s="95"/>
      <c r="G68" s="95"/>
      <c r="H68" s="95"/>
      <c r="I68" s="95"/>
      <c r="J68" s="73"/>
      <c r="K68" s="77" t="e">
        <f>K44/#REF!</f>
        <v>#REF!</v>
      </c>
      <c r="L68" s="77" t="e">
        <f t="shared" si="35"/>
        <v>#DIV/0!</v>
      </c>
      <c r="M68" s="77" t="e">
        <f t="shared" si="35"/>
        <v>#DIV/0!</v>
      </c>
      <c r="N68" s="77" t="e">
        <f t="shared" si="35"/>
        <v>#DIV/0!</v>
      </c>
      <c r="O68" s="77">
        <f t="shared" si="35"/>
        <v>-0.39934505200061926</v>
      </c>
      <c r="P68" s="77">
        <f t="shared" si="35"/>
        <v>-0.18090337315343655</v>
      </c>
      <c r="Q68" s="77">
        <f t="shared" si="35"/>
        <v>0.57039363245796226</v>
      </c>
      <c r="R68" s="77">
        <f t="shared" si="35"/>
        <v>0.1930795088644324</v>
      </c>
      <c r="S68" s="98" t="e">
        <f t="shared" si="30"/>
        <v>#DIV/0!</v>
      </c>
      <c r="T68" s="98" t="e">
        <f t="shared" si="31"/>
        <v>#DIV/0!</v>
      </c>
      <c r="U68" s="105">
        <f t="shared" si="32"/>
        <v>2.2544915319282741</v>
      </c>
      <c r="V68" s="105" t="e">
        <f t="shared" si="33"/>
        <v>#DIV/0!</v>
      </c>
      <c r="W68" s="105" t="e">
        <f t="shared" si="34"/>
        <v>#DIV/0!</v>
      </c>
      <c r="X68" s="105" t="e">
        <f t="shared" si="34"/>
        <v>#DIV/0!</v>
      </c>
      <c r="Y68" s="105" t="e">
        <f t="shared" si="34"/>
        <v>#DIV/0!</v>
      </c>
      <c r="Z68" s="105" t="e">
        <f t="shared" si="34"/>
        <v>#DIV/0!</v>
      </c>
      <c r="AA68" s="105" t="e">
        <f t="shared" si="34"/>
        <v>#DIV/0!</v>
      </c>
      <c r="AB68" s="105" t="e">
        <f t="shared" si="34"/>
        <v>#DIV/0!</v>
      </c>
      <c r="AC68" s="105" t="e">
        <f t="shared" si="34"/>
        <v>#DIV/0!</v>
      </c>
      <c r="AD68" s="105" t="e">
        <f t="shared" si="34"/>
        <v>#DIV/0!</v>
      </c>
      <c r="AE68" s="96"/>
    </row>
    <row r="69" spans="1:31" outlineLevel="1">
      <c r="A69" s="72" t="s">
        <v>42</v>
      </c>
      <c r="B69" s="95"/>
      <c r="C69" s="95"/>
      <c r="D69" s="95"/>
      <c r="E69" s="95"/>
      <c r="F69" s="95"/>
      <c r="G69" s="95"/>
      <c r="H69" s="95"/>
      <c r="I69" s="95"/>
      <c r="J69" s="73"/>
      <c r="K69" s="77" t="e">
        <f>K45/#REF!</f>
        <v>#REF!</v>
      </c>
      <c r="L69" s="77" t="e">
        <f t="shared" si="35"/>
        <v>#DIV/0!</v>
      </c>
      <c r="M69" s="77" t="e">
        <f t="shared" si="35"/>
        <v>#DIV/0!</v>
      </c>
      <c r="N69" s="77">
        <f t="shared" si="35"/>
        <v>0.40371093749999998</v>
      </c>
      <c r="O69" s="77">
        <f t="shared" si="35"/>
        <v>-0.58012151569964288</v>
      </c>
      <c r="P69" s="77">
        <f t="shared" si="35"/>
        <v>-7.953164696785596E-2</v>
      </c>
      <c r="Q69" s="77">
        <f t="shared" si="35"/>
        <v>0.57850882035281415</v>
      </c>
      <c r="R69" s="77">
        <f t="shared" si="35"/>
        <v>-4.4570985806746295E-2</v>
      </c>
      <c r="S69" s="98" t="e">
        <f t="shared" si="30"/>
        <v>#DIV/0!</v>
      </c>
      <c r="T69" s="98" t="e">
        <f t="shared" si="31"/>
        <v>#DIV/0!</v>
      </c>
      <c r="U69" s="105">
        <f t="shared" si="32"/>
        <v>4.1468715983525684</v>
      </c>
      <c r="V69" s="105" t="e">
        <f t="shared" si="33"/>
        <v>#DIV/0!</v>
      </c>
      <c r="W69" s="105" t="e">
        <f t="shared" ref="W69:AD73" si="36">V69</f>
        <v>#DIV/0!</v>
      </c>
      <c r="X69" s="105" t="e">
        <f t="shared" si="36"/>
        <v>#DIV/0!</v>
      </c>
      <c r="Y69" s="105" t="e">
        <f t="shared" si="36"/>
        <v>#DIV/0!</v>
      </c>
      <c r="Z69" s="105" t="e">
        <f t="shared" si="36"/>
        <v>#DIV/0!</v>
      </c>
      <c r="AA69" s="105" t="e">
        <f t="shared" si="36"/>
        <v>#DIV/0!</v>
      </c>
      <c r="AB69" s="105" t="e">
        <f t="shared" si="36"/>
        <v>#DIV/0!</v>
      </c>
      <c r="AC69" s="105" t="e">
        <f t="shared" si="36"/>
        <v>#DIV/0!</v>
      </c>
      <c r="AD69" s="105" t="e">
        <f t="shared" si="36"/>
        <v>#DIV/0!</v>
      </c>
      <c r="AE69" s="96"/>
    </row>
    <row r="70" spans="1:31" outlineLevel="1">
      <c r="A70" s="72" t="s">
        <v>54</v>
      </c>
      <c r="B70" s="95"/>
      <c r="C70" s="95"/>
      <c r="D70" s="95"/>
      <c r="E70" s="95"/>
      <c r="F70" s="95"/>
      <c r="G70" s="95"/>
      <c r="H70" s="95"/>
      <c r="I70" s="95"/>
      <c r="J70" s="73"/>
      <c r="K70" s="77" t="e">
        <f>K46/#REF!</f>
        <v>#REF!</v>
      </c>
      <c r="L70" s="77" t="e">
        <f t="shared" si="35"/>
        <v>#DIV/0!</v>
      </c>
      <c r="M70" s="77" t="e">
        <f t="shared" si="35"/>
        <v>#DIV/0!</v>
      </c>
      <c r="N70" s="77" t="e">
        <f t="shared" si="35"/>
        <v>#DIV/0!</v>
      </c>
      <c r="O70" s="77" t="e">
        <f t="shared" si="35"/>
        <v>#DIV/0!</v>
      </c>
      <c r="P70" s="77" t="e">
        <f t="shared" si="35"/>
        <v>#DIV/0!</v>
      </c>
      <c r="Q70" s="77" t="e">
        <f t="shared" si="35"/>
        <v>#DIV/0!</v>
      </c>
      <c r="R70" s="77" t="e">
        <f t="shared" si="35"/>
        <v>#DIV/0!</v>
      </c>
      <c r="S70" s="98" t="e">
        <f t="shared" si="30"/>
        <v>#DIV/0!</v>
      </c>
      <c r="T70" s="98" t="e">
        <f t="shared" si="31"/>
        <v>#DIV/0!</v>
      </c>
      <c r="U70" s="105" t="e">
        <f t="shared" si="32"/>
        <v>#DIV/0!</v>
      </c>
      <c r="V70" s="105" t="e">
        <f t="shared" si="33"/>
        <v>#DIV/0!</v>
      </c>
      <c r="W70" s="105" t="e">
        <f t="shared" si="36"/>
        <v>#DIV/0!</v>
      </c>
      <c r="X70" s="105" t="e">
        <f t="shared" si="36"/>
        <v>#DIV/0!</v>
      </c>
      <c r="Y70" s="105" t="e">
        <f t="shared" si="36"/>
        <v>#DIV/0!</v>
      </c>
      <c r="Z70" s="105" t="e">
        <f t="shared" si="36"/>
        <v>#DIV/0!</v>
      </c>
      <c r="AA70" s="105" t="e">
        <f t="shared" si="36"/>
        <v>#DIV/0!</v>
      </c>
      <c r="AB70" s="105" t="e">
        <f t="shared" si="36"/>
        <v>#DIV/0!</v>
      </c>
      <c r="AC70" s="105" t="e">
        <f t="shared" si="36"/>
        <v>#DIV/0!</v>
      </c>
      <c r="AD70" s="105" t="e">
        <f t="shared" si="36"/>
        <v>#DIV/0!</v>
      </c>
      <c r="AE70" s="96"/>
    </row>
    <row r="71" spans="1:31" outlineLevel="1">
      <c r="A71" s="72" t="s">
        <v>438</v>
      </c>
      <c r="B71" s="95"/>
      <c r="C71" s="95"/>
      <c r="D71" s="95"/>
      <c r="E71" s="95"/>
      <c r="F71" s="95"/>
      <c r="G71" s="95"/>
      <c r="H71" s="95"/>
      <c r="I71" s="95"/>
      <c r="J71" s="73"/>
      <c r="K71" s="77" t="e">
        <f>K47/#REF!</f>
        <v>#REF!</v>
      </c>
      <c r="L71" s="77" t="e">
        <f t="shared" ref="L71:R72" si="37">L47/K24</f>
        <v>#DIV/0!</v>
      </c>
      <c r="M71" s="77" t="e">
        <f t="shared" si="37"/>
        <v>#DIV/0!</v>
      </c>
      <c r="N71" s="77" t="e">
        <f t="shared" si="37"/>
        <v>#DIV/0!</v>
      </c>
      <c r="O71" s="77" t="e">
        <f t="shared" si="37"/>
        <v>#DIV/0!</v>
      </c>
      <c r="P71" s="77" t="e">
        <f t="shared" si="37"/>
        <v>#DIV/0!</v>
      </c>
      <c r="Q71" s="77" t="e">
        <f t="shared" si="37"/>
        <v>#DIV/0!</v>
      </c>
      <c r="R71" s="77" t="e">
        <f t="shared" si="37"/>
        <v>#DIV/0!</v>
      </c>
      <c r="S71" s="98" t="e">
        <f t="shared" si="30"/>
        <v>#DIV/0!</v>
      </c>
      <c r="T71" s="98" t="e">
        <f t="shared" si="31"/>
        <v>#DIV/0!</v>
      </c>
      <c r="U71" s="105" t="e">
        <f t="shared" si="32"/>
        <v>#DIV/0!</v>
      </c>
      <c r="V71" s="105" t="e">
        <f t="shared" si="33"/>
        <v>#DIV/0!</v>
      </c>
      <c r="W71" s="105" t="e">
        <f t="shared" si="36"/>
        <v>#DIV/0!</v>
      </c>
      <c r="X71" s="105" t="e">
        <f t="shared" si="36"/>
        <v>#DIV/0!</v>
      </c>
      <c r="Y71" s="105" t="e">
        <f t="shared" si="36"/>
        <v>#DIV/0!</v>
      </c>
      <c r="Z71" s="105" t="e">
        <f t="shared" si="36"/>
        <v>#DIV/0!</v>
      </c>
      <c r="AA71" s="105" t="e">
        <f t="shared" si="36"/>
        <v>#DIV/0!</v>
      </c>
      <c r="AB71" s="105" t="e">
        <f t="shared" si="36"/>
        <v>#DIV/0!</v>
      </c>
      <c r="AC71" s="105" t="e">
        <f t="shared" si="36"/>
        <v>#DIV/0!</v>
      </c>
      <c r="AD71" s="105" t="e">
        <f t="shared" si="36"/>
        <v>#DIV/0!</v>
      </c>
      <c r="AE71" s="96"/>
    </row>
    <row r="72" spans="1:31" outlineLevel="1">
      <c r="A72" s="72"/>
      <c r="B72" s="95"/>
      <c r="C72" s="95"/>
      <c r="D72" s="95"/>
      <c r="E72" s="95"/>
      <c r="F72" s="95"/>
      <c r="G72" s="95"/>
      <c r="H72" s="95"/>
      <c r="I72" s="95"/>
      <c r="J72" s="73"/>
      <c r="K72" s="77" t="e">
        <f>K48/#REF!</f>
        <v>#REF!</v>
      </c>
      <c r="L72" s="77" t="e">
        <f t="shared" si="37"/>
        <v>#DIV/0!</v>
      </c>
      <c r="M72" s="77">
        <f t="shared" si="37"/>
        <v>2.8237249482763817E-2</v>
      </c>
      <c r="N72" s="77">
        <f t="shared" si="37"/>
        <v>5.4653411069238503E-2</v>
      </c>
      <c r="O72" s="77">
        <f t="shared" si="37"/>
        <v>-0.2502406385442425</v>
      </c>
      <c r="P72" s="77">
        <f t="shared" si="37"/>
        <v>-8.0965221313443234E-2</v>
      </c>
      <c r="Q72" s="77">
        <f t="shared" si="37"/>
        <v>0.50305901497913519</v>
      </c>
      <c r="R72" s="77">
        <f t="shared" si="37"/>
        <v>-0.91209921277923245</v>
      </c>
      <c r="S72" s="98">
        <f t="shared" si="30"/>
        <v>5.0948763134690357E-2</v>
      </c>
      <c r="T72" s="98">
        <f t="shared" si="31"/>
        <v>4.1445330276001162E-2</v>
      </c>
      <c r="U72" s="105">
        <f t="shared" si="32"/>
        <v>11.702363496559135</v>
      </c>
      <c r="V72" s="105">
        <f t="shared" si="33"/>
        <v>4.1445330276001162E-2</v>
      </c>
      <c r="W72" s="105">
        <f t="shared" si="36"/>
        <v>4.1445330276001162E-2</v>
      </c>
      <c r="X72" s="105">
        <f t="shared" si="36"/>
        <v>4.1445330276001162E-2</v>
      </c>
      <c r="Y72" s="105">
        <f t="shared" si="36"/>
        <v>4.1445330276001162E-2</v>
      </c>
      <c r="Z72" s="105">
        <f t="shared" si="36"/>
        <v>4.1445330276001162E-2</v>
      </c>
      <c r="AA72" s="105">
        <f t="shared" si="36"/>
        <v>4.1445330276001162E-2</v>
      </c>
      <c r="AB72" s="105">
        <f t="shared" si="36"/>
        <v>4.1445330276001162E-2</v>
      </c>
      <c r="AC72" s="105">
        <f t="shared" si="36"/>
        <v>4.1445330276001162E-2</v>
      </c>
      <c r="AD72" s="105">
        <f t="shared" si="36"/>
        <v>4.1445330276001162E-2</v>
      </c>
      <c r="AE72" s="96"/>
    </row>
    <row r="73" spans="1:31" s="159" customFormat="1">
      <c r="A73" s="74" t="s">
        <v>203</v>
      </c>
      <c r="B73" s="74"/>
      <c r="C73" s="74"/>
      <c r="D73" s="74"/>
      <c r="E73" s="74"/>
      <c r="F73" s="74"/>
      <c r="G73" s="74"/>
      <c r="H73" s="74"/>
      <c r="I73" s="74"/>
      <c r="J73" s="75"/>
      <c r="K73" s="78" t="e">
        <f>K49/#REF!</f>
        <v>#REF!</v>
      </c>
      <c r="L73" s="78" t="e">
        <f t="shared" ref="L73:R73" si="38">L49/K25</f>
        <v>#DIV/0!</v>
      </c>
      <c r="M73" s="78">
        <f t="shared" si="38"/>
        <v>5.6474498965527586E-2</v>
      </c>
      <c r="N73" s="78">
        <f t="shared" si="38"/>
        <v>0.10930682213847703</v>
      </c>
      <c r="O73" s="78">
        <f t="shared" si="38"/>
        <v>-0.50048127708848489</v>
      </c>
      <c r="P73" s="78">
        <f t="shared" si="38"/>
        <v>-0.16193044262688655</v>
      </c>
      <c r="Q73" s="78">
        <f t="shared" si="38"/>
        <v>1.0061180299582702</v>
      </c>
      <c r="R73" s="78">
        <f t="shared" si="38"/>
        <v>-1.8241984255584649</v>
      </c>
      <c r="S73" s="98">
        <f>AVERAGE(M73:Q73)</f>
        <v>0.10189752626938067</v>
      </c>
      <c r="T73" s="98">
        <f>AVERAGE(M73:N73)</f>
        <v>8.289066055200231E-2</v>
      </c>
      <c r="U73" s="105">
        <f>U49/R25</f>
        <v>11.702363496559135</v>
      </c>
      <c r="V73" s="105">
        <f>T73</f>
        <v>8.289066055200231E-2</v>
      </c>
      <c r="W73" s="105">
        <f t="shared" si="36"/>
        <v>8.289066055200231E-2</v>
      </c>
      <c r="X73" s="105">
        <f t="shared" si="36"/>
        <v>8.289066055200231E-2</v>
      </c>
      <c r="Y73" s="105">
        <f t="shared" si="36"/>
        <v>8.289066055200231E-2</v>
      </c>
      <c r="Z73" s="105">
        <f t="shared" si="36"/>
        <v>8.289066055200231E-2</v>
      </c>
      <c r="AA73" s="105">
        <f t="shared" si="36"/>
        <v>8.289066055200231E-2</v>
      </c>
      <c r="AB73" s="105">
        <f t="shared" si="36"/>
        <v>8.289066055200231E-2</v>
      </c>
      <c r="AC73" s="105">
        <f t="shared" si="36"/>
        <v>8.289066055200231E-2</v>
      </c>
      <c r="AD73" s="105">
        <f t="shared" si="36"/>
        <v>8.289066055200231E-2</v>
      </c>
      <c r="AE73" s="106"/>
    </row>
    <row r="75" spans="1:31">
      <c r="A75" s="158" t="s">
        <v>934</v>
      </c>
      <c r="C75" s="158" t="s">
        <v>935</v>
      </c>
    </row>
    <row r="76" spans="1:31">
      <c r="C76" s="493">
        <f>AVERAGE(E53:N53)</f>
        <v>1.7060728280717568E-2</v>
      </c>
    </row>
  </sheetData>
  <mergeCells count="3">
    <mergeCell ref="J4:Q4"/>
    <mergeCell ref="J27:Q27"/>
    <mergeCell ref="J51:Q51"/>
  </mergeCells>
  <pageMargins left="0.75" right="0.75" top="1" bottom="1" header="0.5" footer="0.5"/>
  <pageSetup orientation="portrait" r:id="rId1"/>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73"/>
  <sheetViews>
    <sheetView showGridLines="0" workbookViewId="0">
      <pane xSplit="2" ySplit="5" topLeftCell="C12" activePane="bottomRight" state="frozen"/>
      <selection pane="topRight" activeCell="C1" sqref="C1"/>
      <selection pane="bottomLeft" activeCell="A9" sqref="A9"/>
      <selection pane="bottomRight" activeCell="C15" sqref="C15"/>
    </sheetView>
  </sheetViews>
  <sheetFormatPr defaultColWidth="8.85546875" defaultRowHeight="12.75" outlineLevelRow="1"/>
  <cols>
    <col min="1" max="1" width="13" style="158" customWidth="1"/>
    <col min="2" max="2" width="17" style="158" customWidth="1"/>
    <col min="3" max="3" width="11.85546875" style="158" customWidth="1"/>
    <col min="4" max="10" width="9.85546875" style="158" bestFit="1" customWidth="1"/>
    <col min="11" max="12" width="9.85546875" style="158" customWidth="1"/>
    <col min="13" max="16384" width="8.85546875" style="158"/>
  </cols>
  <sheetData>
    <row r="1" spans="1:24" ht="15">
      <c r="A1" s="62"/>
      <c r="B1" s="62"/>
      <c r="C1" s="62"/>
    </row>
    <row r="2" spans="1:24">
      <c r="A2" s="160"/>
      <c r="B2" s="160"/>
    </row>
    <row r="4" spans="1:24">
      <c r="A4" s="71">
        <v>1</v>
      </c>
      <c r="B4" s="71" t="s">
        <v>264</v>
      </c>
      <c r="C4" s="1910" t="s">
        <v>447</v>
      </c>
      <c r="D4" s="1910"/>
      <c r="E4" s="1910"/>
      <c r="F4" s="1910"/>
      <c r="G4" s="1910"/>
      <c r="H4" s="1910"/>
      <c r="I4" s="1910"/>
      <c r="J4" s="1910"/>
      <c r="K4" s="161"/>
      <c r="L4" s="86"/>
      <c r="M4" s="161"/>
      <c r="N4" s="161"/>
      <c r="O4" s="161"/>
      <c r="P4" s="161"/>
      <c r="Q4" s="161"/>
      <c r="R4" s="161"/>
      <c r="S4" s="161"/>
      <c r="T4" s="161"/>
      <c r="U4" s="161"/>
      <c r="V4" s="161"/>
      <c r="W4" s="161"/>
      <c r="X4" s="161"/>
    </row>
    <row r="5" spans="1:24">
      <c r="A5" s="71"/>
      <c r="B5" s="92" t="s">
        <v>357</v>
      </c>
      <c r="C5" s="72">
        <v>2015</v>
      </c>
      <c r="D5" s="72" t="s">
        <v>303</v>
      </c>
      <c r="E5" s="72" t="s">
        <v>304</v>
      </c>
      <c r="F5" s="72" t="s">
        <v>305</v>
      </c>
      <c r="G5" s="72" t="s">
        <v>306</v>
      </c>
      <c r="H5" s="72" t="s">
        <v>307</v>
      </c>
      <c r="I5" s="72" t="s">
        <v>308</v>
      </c>
      <c r="J5" s="72" t="s">
        <v>309</v>
      </c>
      <c r="K5" s="72" t="s">
        <v>340</v>
      </c>
      <c r="L5" s="72" t="s">
        <v>355</v>
      </c>
      <c r="M5" s="72" t="s">
        <v>356</v>
      </c>
      <c r="N5" s="72" t="s">
        <v>341</v>
      </c>
      <c r="O5" s="72" t="s">
        <v>342</v>
      </c>
      <c r="P5" s="72" t="s">
        <v>343</v>
      </c>
      <c r="Q5" s="72" t="s">
        <v>344</v>
      </c>
      <c r="R5" s="72" t="s">
        <v>345</v>
      </c>
      <c r="S5" s="72" t="s">
        <v>346</v>
      </c>
      <c r="T5" s="72" t="s">
        <v>347</v>
      </c>
      <c r="U5" s="72" t="s">
        <v>348</v>
      </c>
      <c r="V5" s="72" t="s">
        <v>349</v>
      </c>
      <c r="W5" s="72" t="s">
        <v>350</v>
      </c>
      <c r="X5" s="72" t="s">
        <v>353</v>
      </c>
    </row>
    <row r="6" spans="1:24">
      <c r="A6" s="71" t="s">
        <v>16</v>
      </c>
      <c r="B6" s="92"/>
      <c r="C6" s="165"/>
      <c r="D6" s="72"/>
      <c r="E6" s="72"/>
      <c r="F6" s="72"/>
      <c r="G6" s="72"/>
      <c r="H6" s="72"/>
      <c r="I6" s="72"/>
      <c r="J6" s="72"/>
      <c r="K6" s="72"/>
      <c r="L6" s="72" t="e">
        <v>#DIV/0!</v>
      </c>
      <c r="M6" s="72" t="e">
        <v>#DIV/0!</v>
      </c>
      <c r="N6" s="72">
        <v>0</v>
      </c>
      <c r="O6" s="72" t="e">
        <v>#DIV/0!</v>
      </c>
      <c r="P6" s="72" t="e">
        <v>#DIV/0!</v>
      </c>
      <c r="Q6" s="72" t="e">
        <v>#DIV/0!</v>
      </c>
      <c r="R6" s="72" t="e">
        <v>#DIV/0!</v>
      </c>
      <c r="S6" s="72" t="e">
        <v>#DIV/0!</v>
      </c>
      <c r="T6" s="72" t="e">
        <v>#DIV/0!</v>
      </c>
      <c r="U6" s="72" t="e">
        <v>#DIV/0!</v>
      </c>
      <c r="V6" s="72" t="e">
        <v>#DIV/0!</v>
      </c>
      <c r="W6" s="72" t="e">
        <v>#DIV/0!</v>
      </c>
      <c r="X6" s="72"/>
    </row>
    <row r="7" spans="1:24">
      <c r="A7" s="72" t="s">
        <v>40</v>
      </c>
      <c r="B7" s="94"/>
      <c r="C7" s="91"/>
      <c r="D7" s="73"/>
      <c r="E7" s="73"/>
      <c r="F7" s="73"/>
      <c r="G7" s="73"/>
      <c r="H7" s="73"/>
      <c r="I7" s="73"/>
      <c r="J7" s="73"/>
      <c r="K7" s="73"/>
      <c r="L7" s="73" t="e">
        <f t="shared" ref="L7:L24" si="0">AVERAGE(E7:J7)</f>
        <v>#DIV/0!</v>
      </c>
      <c r="M7" s="73" t="e">
        <f t="shared" ref="M7:M24" si="1">AVERAGE(E7:G7)</f>
        <v>#DIV/0!</v>
      </c>
      <c r="N7" s="73">
        <f>G7+(4*M30)</f>
        <v>0</v>
      </c>
      <c r="O7" s="73" t="e">
        <f t="shared" ref="O7:O24" si="2">N7+(N7*M54)</f>
        <v>#DIV/0!</v>
      </c>
      <c r="P7" s="73" t="e">
        <f t="shared" ref="P7:P24" si="3">O7+(O7*N54)</f>
        <v>#DIV/0!</v>
      </c>
      <c r="Q7" s="73" t="e">
        <f t="shared" ref="Q7:Q24" si="4">P7+(P7*O54)</f>
        <v>#DIV/0!</v>
      </c>
      <c r="R7" s="73" t="e">
        <f t="shared" ref="R7:R24" si="5">Q7+(Q7*P54)</f>
        <v>#DIV/0!</v>
      </c>
      <c r="S7" s="73" t="e">
        <f t="shared" ref="S7:S24" si="6">R7+(R7*Q54)</f>
        <v>#DIV/0!</v>
      </c>
      <c r="T7" s="73" t="e">
        <f t="shared" ref="T7:T24" si="7">S7+(S7*R54)</f>
        <v>#DIV/0!</v>
      </c>
      <c r="U7" s="73" t="e">
        <f t="shared" ref="U7:U24" si="8">T7+(T7*S54)</f>
        <v>#DIV/0!</v>
      </c>
      <c r="V7" s="73" t="e">
        <f t="shared" ref="V7:V24" si="9">U7+(U7*T54)</f>
        <v>#DIV/0!</v>
      </c>
      <c r="W7" s="73" t="e">
        <f t="shared" ref="W7:W24" si="10">V7+(V7*U54)</f>
        <v>#DIV/0!</v>
      </c>
      <c r="X7" s="73"/>
    </row>
    <row r="8" spans="1:24">
      <c r="A8" s="72" t="s">
        <v>59</v>
      </c>
      <c r="B8" s="95"/>
      <c r="C8" s="91"/>
      <c r="D8" s="73"/>
      <c r="E8" s="168">
        <v>65216</v>
      </c>
      <c r="F8" s="168">
        <v>66235</v>
      </c>
      <c r="G8" s="168">
        <v>78159</v>
      </c>
      <c r="H8" s="168">
        <v>74158</v>
      </c>
      <c r="I8" s="168">
        <v>74531</v>
      </c>
      <c r="J8" s="168">
        <v>75311</v>
      </c>
      <c r="K8" s="168">
        <v>75312</v>
      </c>
      <c r="L8" s="73">
        <f t="shared" si="0"/>
        <v>72268.333333333328</v>
      </c>
      <c r="M8" s="73">
        <f t="shared" si="1"/>
        <v>69870</v>
      </c>
      <c r="N8" s="73">
        <f>K8+K8*0.01</f>
        <v>76065.119999999995</v>
      </c>
      <c r="O8" s="73">
        <f t="shared" si="2"/>
        <v>83506.215700856788</v>
      </c>
      <c r="P8" s="73">
        <f t="shared" si="3"/>
        <v>84341.277857865352</v>
      </c>
      <c r="Q8" s="73">
        <f t="shared" si="4"/>
        <v>92591.99145790872</v>
      </c>
      <c r="R8" s="73">
        <f t="shared" si="5"/>
        <v>101649.83386414188</v>
      </c>
      <c r="S8" s="73">
        <f t="shared" si="6"/>
        <v>111593.76272088035</v>
      </c>
      <c r="T8" s="73">
        <f t="shared" si="7"/>
        <v>122510.45973029513</v>
      </c>
      <c r="U8" s="73">
        <f t="shared" si="8"/>
        <v>134495.0862609453</v>
      </c>
      <c r="V8" s="73">
        <f t="shared" si="9"/>
        <v>147652.11287396695</v>
      </c>
      <c r="W8" s="73">
        <f t="shared" si="10"/>
        <v>162096.2299979378</v>
      </c>
      <c r="X8" s="73"/>
    </row>
    <row r="9" spans="1:24">
      <c r="A9" s="72" t="s">
        <v>43</v>
      </c>
      <c r="B9" s="95"/>
      <c r="C9" s="91"/>
      <c r="D9" s="108">
        <v>3199704.4222371918</v>
      </c>
      <c r="E9" s="108">
        <v>3199704.4222371918</v>
      </c>
      <c r="F9" s="168">
        <v>3199704.4222371918</v>
      </c>
      <c r="G9" s="108">
        <v>3258071.5377897532</v>
      </c>
      <c r="H9" s="108">
        <v>3316438.653342315</v>
      </c>
      <c r="I9" s="108">
        <v>3374805.7688948768</v>
      </c>
      <c r="J9" s="108">
        <v>3433172.8844474382</v>
      </c>
      <c r="K9" s="168">
        <v>3491540</v>
      </c>
      <c r="L9" s="73">
        <f t="shared" si="0"/>
        <v>3296982.9481581277</v>
      </c>
      <c r="M9" s="73">
        <f t="shared" si="1"/>
        <v>3219160.1274213791</v>
      </c>
      <c r="N9" s="108">
        <f t="shared" ref="N9:N24" si="11">G9+(4*M32)</f>
        <v>3374805.7688948759</v>
      </c>
      <c r="O9" s="73">
        <f t="shared" si="2"/>
        <v>3405586.3742707334</v>
      </c>
      <c r="P9" s="73">
        <f t="shared" si="3"/>
        <v>3291725.8694898686</v>
      </c>
      <c r="Q9" s="73">
        <f t="shared" si="4"/>
        <v>3321748.7276727404</v>
      </c>
      <c r="R9" s="73">
        <f t="shared" si="5"/>
        <v>3352045.4154663412</v>
      </c>
      <c r="S9" s="73">
        <f t="shared" si="6"/>
        <v>3382618.4303895701</v>
      </c>
      <c r="T9" s="73">
        <f t="shared" si="7"/>
        <v>3413470.2927404568</v>
      </c>
      <c r="U9" s="73">
        <f t="shared" si="8"/>
        <v>3444603.545803925</v>
      </c>
      <c r="V9" s="73">
        <f t="shared" si="9"/>
        <v>3476020.7560614473</v>
      </c>
      <c r="W9" s="73">
        <f t="shared" si="10"/>
        <v>3507724.5134026152</v>
      </c>
      <c r="X9" s="73"/>
    </row>
    <row r="10" spans="1:24">
      <c r="A10" s="72" t="s">
        <v>44</v>
      </c>
      <c r="B10" s="95"/>
      <c r="C10" s="91"/>
      <c r="D10" s="73"/>
      <c r="E10" s="73"/>
      <c r="F10" s="73"/>
      <c r="G10" s="73"/>
      <c r="H10" s="73"/>
      <c r="I10" s="73"/>
      <c r="J10" s="73"/>
      <c r="K10" s="73"/>
      <c r="L10" s="73" t="e">
        <f t="shared" si="0"/>
        <v>#DIV/0!</v>
      </c>
      <c r="M10" s="73" t="e">
        <f t="shared" si="1"/>
        <v>#DIV/0!</v>
      </c>
      <c r="N10" s="73">
        <f t="shared" si="11"/>
        <v>0</v>
      </c>
      <c r="O10" s="73" t="e">
        <f t="shared" si="2"/>
        <v>#DIV/0!</v>
      </c>
      <c r="P10" s="73" t="e">
        <f t="shared" si="3"/>
        <v>#DIV/0!</v>
      </c>
      <c r="Q10" s="73" t="e">
        <f t="shared" si="4"/>
        <v>#DIV/0!</v>
      </c>
      <c r="R10" s="73" t="e">
        <f t="shared" si="5"/>
        <v>#DIV/0!</v>
      </c>
      <c r="S10" s="73" t="e">
        <f t="shared" si="6"/>
        <v>#DIV/0!</v>
      </c>
      <c r="T10" s="73" t="e">
        <f t="shared" si="7"/>
        <v>#DIV/0!</v>
      </c>
      <c r="U10" s="73" t="e">
        <f t="shared" si="8"/>
        <v>#DIV/0!</v>
      </c>
      <c r="V10" s="73" t="e">
        <f t="shared" si="9"/>
        <v>#DIV/0!</v>
      </c>
      <c r="W10" s="73" t="e">
        <f t="shared" si="10"/>
        <v>#DIV/0!</v>
      </c>
      <c r="X10" s="73"/>
    </row>
    <row r="11" spans="1:24">
      <c r="A11" s="72" t="s">
        <v>57</v>
      </c>
      <c r="B11" s="95"/>
      <c r="C11" s="91"/>
      <c r="D11" s="73"/>
      <c r="E11" s="73"/>
      <c r="F11" s="73"/>
      <c r="G11" s="73"/>
      <c r="H11" s="73"/>
      <c r="I11" s="73"/>
      <c r="J11" s="73"/>
      <c r="K11" s="73"/>
      <c r="L11" s="73" t="e">
        <f t="shared" si="0"/>
        <v>#DIV/0!</v>
      </c>
      <c r="M11" s="73" t="e">
        <f t="shared" si="1"/>
        <v>#DIV/0!</v>
      </c>
      <c r="N11" s="73">
        <f t="shared" si="11"/>
        <v>0</v>
      </c>
      <c r="O11" s="73" t="e">
        <f t="shared" si="2"/>
        <v>#DIV/0!</v>
      </c>
      <c r="P11" s="73" t="e">
        <f t="shared" si="3"/>
        <v>#DIV/0!</v>
      </c>
      <c r="Q11" s="73" t="e">
        <f t="shared" si="4"/>
        <v>#DIV/0!</v>
      </c>
      <c r="R11" s="73" t="e">
        <f t="shared" si="5"/>
        <v>#DIV/0!</v>
      </c>
      <c r="S11" s="73" t="e">
        <f t="shared" si="6"/>
        <v>#DIV/0!</v>
      </c>
      <c r="T11" s="73" t="e">
        <f t="shared" si="7"/>
        <v>#DIV/0!</v>
      </c>
      <c r="U11" s="73" t="e">
        <f t="shared" si="8"/>
        <v>#DIV/0!</v>
      </c>
      <c r="V11" s="73" t="e">
        <f t="shared" si="9"/>
        <v>#DIV/0!</v>
      </c>
      <c r="W11" s="73" t="e">
        <f t="shared" si="10"/>
        <v>#DIV/0!</v>
      </c>
      <c r="X11" s="73"/>
    </row>
    <row r="12" spans="1:24">
      <c r="A12" s="72" t="s">
        <v>55</v>
      </c>
      <c r="B12" s="95"/>
      <c r="C12" s="91"/>
      <c r="D12" s="73"/>
      <c r="E12" s="73"/>
      <c r="F12" s="73"/>
      <c r="G12" s="73"/>
      <c r="H12" s="73"/>
      <c r="I12" s="73"/>
      <c r="J12" s="168">
        <v>219857</v>
      </c>
      <c r="K12" s="168">
        <v>214571</v>
      </c>
      <c r="L12" s="73">
        <f t="shared" si="0"/>
        <v>219857</v>
      </c>
      <c r="M12" s="73" t="e">
        <f t="shared" si="1"/>
        <v>#DIV/0!</v>
      </c>
      <c r="N12" s="73">
        <f t="shared" si="11"/>
        <v>0</v>
      </c>
      <c r="O12" s="73" t="e">
        <f t="shared" si="2"/>
        <v>#DIV/0!</v>
      </c>
      <c r="P12" s="73" t="e">
        <f t="shared" si="3"/>
        <v>#DIV/0!</v>
      </c>
      <c r="Q12" s="73" t="e">
        <f t="shared" si="4"/>
        <v>#DIV/0!</v>
      </c>
      <c r="R12" s="73" t="e">
        <f t="shared" si="5"/>
        <v>#DIV/0!</v>
      </c>
      <c r="S12" s="73" t="e">
        <f t="shared" si="6"/>
        <v>#DIV/0!</v>
      </c>
      <c r="T12" s="73" t="e">
        <f t="shared" si="7"/>
        <v>#DIV/0!</v>
      </c>
      <c r="U12" s="73" t="e">
        <f t="shared" si="8"/>
        <v>#DIV/0!</v>
      </c>
      <c r="V12" s="73" t="e">
        <f t="shared" si="9"/>
        <v>#DIV/0!</v>
      </c>
      <c r="W12" s="73" t="e">
        <f t="shared" si="10"/>
        <v>#DIV/0!</v>
      </c>
      <c r="X12" s="73"/>
    </row>
    <row r="13" spans="1:24">
      <c r="A13" s="72" t="s">
        <v>45</v>
      </c>
      <c r="B13" s="95"/>
      <c r="C13" s="91"/>
      <c r="D13" s="73"/>
      <c r="E13" s="73"/>
      <c r="F13" s="73"/>
      <c r="G13" s="73"/>
      <c r="H13" s="73"/>
      <c r="I13" s="73"/>
      <c r="J13" s="168">
        <v>452000</v>
      </c>
      <c r="K13" s="73"/>
      <c r="L13" s="73">
        <f t="shared" si="0"/>
        <v>452000</v>
      </c>
      <c r="M13" s="73" t="e">
        <f t="shared" si="1"/>
        <v>#DIV/0!</v>
      </c>
      <c r="N13" s="73">
        <f t="shared" si="11"/>
        <v>0</v>
      </c>
      <c r="O13" s="73" t="e">
        <f t="shared" si="2"/>
        <v>#DIV/0!</v>
      </c>
      <c r="P13" s="73" t="e">
        <f t="shared" si="3"/>
        <v>#DIV/0!</v>
      </c>
      <c r="Q13" s="73" t="e">
        <f t="shared" si="4"/>
        <v>#DIV/0!</v>
      </c>
      <c r="R13" s="73" t="e">
        <f t="shared" si="5"/>
        <v>#DIV/0!</v>
      </c>
      <c r="S13" s="73" t="e">
        <f t="shared" si="6"/>
        <v>#DIV/0!</v>
      </c>
      <c r="T13" s="73" t="e">
        <f t="shared" si="7"/>
        <v>#DIV/0!</v>
      </c>
      <c r="U13" s="73" t="e">
        <f t="shared" si="8"/>
        <v>#DIV/0!</v>
      </c>
      <c r="V13" s="73" t="e">
        <f t="shared" si="9"/>
        <v>#DIV/0!</v>
      </c>
      <c r="W13" s="73" t="e">
        <f t="shared" si="10"/>
        <v>#DIV/0!</v>
      </c>
      <c r="X13" s="73"/>
    </row>
    <row r="14" spans="1:24" outlineLevel="1">
      <c r="A14" s="72" t="s">
        <v>48</v>
      </c>
      <c r="B14" s="95"/>
      <c r="C14" s="73"/>
      <c r="D14" s="73"/>
      <c r="E14" s="73"/>
      <c r="F14" s="73"/>
      <c r="G14" s="73"/>
      <c r="H14" s="73"/>
      <c r="I14" s="73"/>
      <c r="J14" s="73"/>
      <c r="K14" s="73"/>
      <c r="L14" s="73" t="e">
        <f t="shared" si="0"/>
        <v>#DIV/0!</v>
      </c>
      <c r="M14" s="73" t="e">
        <f t="shared" si="1"/>
        <v>#DIV/0!</v>
      </c>
      <c r="N14" s="73">
        <f t="shared" si="11"/>
        <v>0</v>
      </c>
      <c r="O14" s="73" t="e">
        <f t="shared" si="2"/>
        <v>#DIV/0!</v>
      </c>
      <c r="P14" s="73" t="e">
        <f t="shared" si="3"/>
        <v>#DIV/0!</v>
      </c>
      <c r="Q14" s="73" t="e">
        <f t="shared" si="4"/>
        <v>#DIV/0!</v>
      </c>
      <c r="R14" s="73" t="e">
        <f t="shared" si="5"/>
        <v>#DIV/0!</v>
      </c>
      <c r="S14" s="73" t="e">
        <f t="shared" si="6"/>
        <v>#DIV/0!</v>
      </c>
      <c r="T14" s="73" t="e">
        <f t="shared" si="7"/>
        <v>#DIV/0!</v>
      </c>
      <c r="U14" s="73" t="e">
        <f t="shared" si="8"/>
        <v>#DIV/0!</v>
      </c>
      <c r="V14" s="73" t="e">
        <f t="shared" si="9"/>
        <v>#DIV/0!</v>
      </c>
      <c r="W14" s="73" t="e">
        <f t="shared" si="10"/>
        <v>#DIV/0!</v>
      </c>
      <c r="X14" s="96"/>
    </row>
    <row r="15" spans="1:24" outlineLevel="1">
      <c r="A15" s="72" t="s">
        <v>50</v>
      </c>
      <c r="B15" s="95"/>
      <c r="C15" s="73"/>
      <c r="D15" s="73"/>
      <c r="E15" s="73"/>
      <c r="F15" s="73"/>
      <c r="G15" s="73"/>
      <c r="H15" s="73"/>
      <c r="I15" s="73"/>
      <c r="J15" s="168">
        <v>101750</v>
      </c>
      <c r="K15" s="168">
        <v>101223</v>
      </c>
      <c r="L15" s="73">
        <f t="shared" si="0"/>
        <v>101750</v>
      </c>
      <c r="M15" s="73" t="e">
        <f t="shared" si="1"/>
        <v>#DIV/0!</v>
      </c>
      <c r="N15" s="73">
        <f t="shared" si="11"/>
        <v>0</v>
      </c>
      <c r="O15" s="73" t="e">
        <f t="shared" si="2"/>
        <v>#DIV/0!</v>
      </c>
      <c r="P15" s="73" t="e">
        <f t="shared" si="3"/>
        <v>#DIV/0!</v>
      </c>
      <c r="Q15" s="73" t="e">
        <f t="shared" si="4"/>
        <v>#DIV/0!</v>
      </c>
      <c r="R15" s="73" t="e">
        <f t="shared" si="5"/>
        <v>#DIV/0!</v>
      </c>
      <c r="S15" s="73" t="e">
        <f t="shared" si="6"/>
        <v>#DIV/0!</v>
      </c>
      <c r="T15" s="73" t="e">
        <f t="shared" si="7"/>
        <v>#DIV/0!</v>
      </c>
      <c r="U15" s="73" t="e">
        <f t="shared" si="8"/>
        <v>#DIV/0!</v>
      </c>
      <c r="V15" s="73" t="e">
        <f t="shared" si="9"/>
        <v>#DIV/0!</v>
      </c>
      <c r="W15" s="73" t="e">
        <f t="shared" si="10"/>
        <v>#DIV/0!</v>
      </c>
      <c r="X15" s="96"/>
    </row>
    <row r="16" spans="1:24" outlineLevel="1">
      <c r="A16" s="72" t="s">
        <v>47</v>
      </c>
      <c r="B16" s="95"/>
      <c r="C16" s="73"/>
      <c r="D16" s="73"/>
      <c r="E16" s="73"/>
      <c r="F16" s="73"/>
      <c r="G16" s="73"/>
      <c r="H16" s="73"/>
      <c r="I16" s="73"/>
      <c r="J16" s="73"/>
      <c r="K16" s="73"/>
      <c r="L16" s="73" t="e">
        <f t="shared" si="0"/>
        <v>#DIV/0!</v>
      </c>
      <c r="M16" s="73" t="e">
        <f t="shared" si="1"/>
        <v>#DIV/0!</v>
      </c>
      <c r="N16" s="73">
        <f t="shared" si="11"/>
        <v>0</v>
      </c>
      <c r="O16" s="73" t="e">
        <f t="shared" si="2"/>
        <v>#DIV/0!</v>
      </c>
      <c r="P16" s="73" t="e">
        <f t="shared" si="3"/>
        <v>#DIV/0!</v>
      </c>
      <c r="Q16" s="73" t="e">
        <f t="shared" si="4"/>
        <v>#DIV/0!</v>
      </c>
      <c r="R16" s="73" t="e">
        <f t="shared" si="5"/>
        <v>#DIV/0!</v>
      </c>
      <c r="S16" s="73" t="e">
        <f t="shared" si="6"/>
        <v>#DIV/0!</v>
      </c>
      <c r="T16" s="73" t="e">
        <f t="shared" si="7"/>
        <v>#DIV/0!</v>
      </c>
      <c r="U16" s="73" t="e">
        <f t="shared" si="8"/>
        <v>#DIV/0!</v>
      </c>
      <c r="V16" s="73" t="e">
        <f t="shared" si="9"/>
        <v>#DIV/0!</v>
      </c>
      <c r="W16" s="73" t="e">
        <f t="shared" si="10"/>
        <v>#DIV/0!</v>
      </c>
      <c r="X16" s="96"/>
    </row>
    <row r="17" spans="1:24" outlineLevel="1">
      <c r="A17" s="72" t="s">
        <v>52</v>
      </c>
      <c r="B17" s="95"/>
      <c r="C17" s="73"/>
      <c r="D17" s="73"/>
      <c r="E17" s="168">
        <v>127277</v>
      </c>
      <c r="F17" s="168">
        <v>126393</v>
      </c>
      <c r="G17" s="168">
        <v>125853</v>
      </c>
      <c r="H17" s="168">
        <v>119148</v>
      </c>
      <c r="I17" s="168">
        <v>127936</v>
      </c>
      <c r="J17" s="168">
        <v>126002</v>
      </c>
      <c r="K17" s="73"/>
      <c r="L17" s="73">
        <f t="shared" si="0"/>
        <v>125434.83333333333</v>
      </c>
      <c r="M17" s="73">
        <f t="shared" si="1"/>
        <v>126507.66666666667</v>
      </c>
      <c r="N17" s="73">
        <f t="shared" si="11"/>
        <v>123005</v>
      </c>
      <c r="O17" s="73">
        <f t="shared" si="2"/>
        <v>122315.07297378704</v>
      </c>
      <c r="P17" s="73" t="e">
        <f t="shared" si="3"/>
        <v>#DIV/0!</v>
      </c>
      <c r="Q17" s="73" t="e">
        <f t="shared" si="4"/>
        <v>#DIV/0!</v>
      </c>
      <c r="R17" s="73" t="e">
        <f t="shared" si="5"/>
        <v>#DIV/0!</v>
      </c>
      <c r="S17" s="73" t="e">
        <f t="shared" si="6"/>
        <v>#DIV/0!</v>
      </c>
      <c r="T17" s="73" t="e">
        <f t="shared" si="7"/>
        <v>#DIV/0!</v>
      </c>
      <c r="U17" s="73" t="e">
        <f t="shared" si="8"/>
        <v>#DIV/0!</v>
      </c>
      <c r="V17" s="73" t="e">
        <f t="shared" si="9"/>
        <v>#DIV/0!</v>
      </c>
      <c r="W17" s="73" t="e">
        <f t="shared" si="10"/>
        <v>#DIV/0!</v>
      </c>
      <c r="X17" s="96"/>
    </row>
    <row r="18" spans="1:24" outlineLevel="1">
      <c r="A18" s="72" t="s">
        <v>60</v>
      </c>
      <c r="B18" s="95"/>
      <c r="C18" s="73"/>
      <c r="D18" s="73"/>
      <c r="E18" s="73"/>
      <c r="F18" s="73"/>
      <c r="G18" s="73"/>
      <c r="H18" s="73"/>
      <c r="I18" s="73"/>
      <c r="J18" s="73"/>
      <c r="K18" s="73"/>
      <c r="L18" s="73" t="e">
        <f t="shared" si="0"/>
        <v>#DIV/0!</v>
      </c>
      <c r="M18" s="73" t="e">
        <f t="shared" si="1"/>
        <v>#DIV/0!</v>
      </c>
      <c r="N18" s="73">
        <f t="shared" si="11"/>
        <v>0</v>
      </c>
      <c r="O18" s="73" t="e">
        <f t="shared" si="2"/>
        <v>#DIV/0!</v>
      </c>
      <c r="P18" s="73" t="e">
        <f t="shared" si="3"/>
        <v>#DIV/0!</v>
      </c>
      <c r="Q18" s="73" t="e">
        <f t="shared" si="4"/>
        <v>#DIV/0!</v>
      </c>
      <c r="R18" s="73" t="e">
        <f t="shared" si="5"/>
        <v>#DIV/0!</v>
      </c>
      <c r="S18" s="73" t="e">
        <f t="shared" si="6"/>
        <v>#DIV/0!</v>
      </c>
      <c r="T18" s="73" t="e">
        <f t="shared" si="7"/>
        <v>#DIV/0!</v>
      </c>
      <c r="U18" s="73" t="e">
        <f t="shared" si="8"/>
        <v>#DIV/0!</v>
      </c>
      <c r="V18" s="73" t="e">
        <f t="shared" si="9"/>
        <v>#DIV/0!</v>
      </c>
      <c r="W18" s="73" t="e">
        <f t="shared" si="10"/>
        <v>#DIV/0!</v>
      </c>
      <c r="X18" s="96"/>
    </row>
    <row r="19" spans="1:24" outlineLevel="1">
      <c r="A19" s="72" t="s">
        <v>58</v>
      </c>
      <c r="B19" s="95"/>
      <c r="C19" s="73"/>
      <c r="D19" s="73"/>
      <c r="E19" s="168">
        <v>85834</v>
      </c>
      <c r="F19" s="168">
        <v>86771</v>
      </c>
      <c r="G19" s="168">
        <v>85492</v>
      </c>
      <c r="H19" s="168">
        <v>69660</v>
      </c>
      <c r="I19" s="168">
        <v>79925</v>
      </c>
      <c r="J19" s="168">
        <v>78509</v>
      </c>
      <c r="K19" s="73"/>
      <c r="L19" s="73">
        <f t="shared" si="0"/>
        <v>81031.833333333328</v>
      </c>
      <c r="M19" s="73">
        <f t="shared" si="1"/>
        <v>86032.333333333328</v>
      </c>
      <c r="N19" s="73">
        <f t="shared" si="11"/>
        <v>84808</v>
      </c>
      <c r="O19" s="73">
        <f t="shared" si="2"/>
        <v>84645.867135152133</v>
      </c>
      <c r="P19" s="73" t="e">
        <f t="shared" si="3"/>
        <v>#DIV/0!</v>
      </c>
      <c r="Q19" s="73" t="e">
        <f t="shared" si="4"/>
        <v>#DIV/0!</v>
      </c>
      <c r="R19" s="73" t="e">
        <f t="shared" si="5"/>
        <v>#DIV/0!</v>
      </c>
      <c r="S19" s="73" t="e">
        <f t="shared" si="6"/>
        <v>#DIV/0!</v>
      </c>
      <c r="T19" s="73" t="e">
        <f t="shared" si="7"/>
        <v>#DIV/0!</v>
      </c>
      <c r="U19" s="73" t="e">
        <f t="shared" si="8"/>
        <v>#DIV/0!</v>
      </c>
      <c r="V19" s="73" t="e">
        <f t="shared" si="9"/>
        <v>#DIV/0!</v>
      </c>
      <c r="W19" s="73" t="e">
        <f t="shared" si="10"/>
        <v>#DIV/0!</v>
      </c>
      <c r="X19" s="96"/>
    </row>
    <row r="20" spans="1:24" outlineLevel="1">
      <c r="A20" s="72" t="s">
        <v>49</v>
      </c>
      <c r="B20" s="95"/>
      <c r="C20" s="73"/>
      <c r="D20" s="73"/>
      <c r="E20" s="73"/>
      <c r="F20" s="73"/>
      <c r="G20" s="73"/>
      <c r="H20" s="73"/>
      <c r="I20" s="73"/>
      <c r="J20" s="73"/>
      <c r="K20" s="73"/>
      <c r="L20" s="73" t="e">
        <f t="shared" si="0"/>
        <v>#DIV/0!</v>
      </c>
      <c r="M20" s="73" t="e">
        <f t="shared" si="1"/>
        <v>#DIV/0!</v>
      </c>
      <c r="N20" s="73">
        <f t="shared" si="11"/>
        <v>0</v>
      </c>
      <c r="O20" s="73" t="e">
        <f t="shared" si="2"/>
        <v>#DIV/0!</v>
      </c>
      <c r="P20" s="73" t="e">
        <f t="shared" si="3"/>
        <v>#DIV/0!</v>
      </c>
      <c r="Q20" s="73" t="e">
        <f t="shared" si="4"/>
        <v>#DIV/0!</v>
      </c>
      <c r="R20" s="73" t="e">
        <f t="shared" si="5"/>
        <v>#DIV/0!</v>
      </c>
      <c r="S20" s="73" t="e">
        <f t="shared" si="6"/>
        <v>#DIV/0!</v>
      </c>
      <c r="T20" s="73" t="e">
        <f t="shared" si="7"/>
        <v>#DIV/0!</v>
      </c>
      <c r="U20" s="73" t="e">
        <f t="shared" si="8"/>
        <v>#DIV/0!</v>
      </c>
      <c r="V20" s="73" t="e">
        <f t="shared" si="9"/>
        <v>#DIV/0!</v>
      </c>
      <c r="W20" s="73" t="e">
        <f t="shared" si="10"/>
        <v>#DIV/0!</v>
      </c>
      <c r="X20" s="96"/>
    </row>
    <row r="21" spans="1:24" outlineLevel="1">
      <c r="A21" s="72" t="s">
        <v>53</v>
      </c>
      <c r="B21" s="95"/>
      <c r="C21" s="73"/>
      <c r="D21" s="73"/>
      <c r="E21" s="73"/>
      <c r="F21" s="73"/>
      <c r="G21" s="168">
        <v>140250</v>
      </c>
      <c r="H21" s="168">
        <v>132220</v>
      </c>
      <c r="I21" s="168">
        <v>140500</v>
      </c>
      <c r="J21" s="168">
        <v>142500</v>
      </c>
      <c r="K21" s="168">
        <v>148754</v>
      </c>
      <c r="L21" s="73">
        <f t="shared" si="0"/>
        <v>138867.5</v>
      </c>
      <c r="M21" s="73">
        <f t="shared" si="1"/>
        <v>140250</v>
      </c>
      <c r="N21" s="73">
        <f t="shared" si="11"/>
        <v>420750</v>
      </c>
      <c r="O21" s="73" t="e">
        <f t="shared" si="2"/>
        <v>#DIV/0!</v>
      </c>
      <c r="P21" s="73" t="e">
        <f t="shared" si="3"/>
        <v>#DIV/0!</v>
      </c>
      <c r="Q21" s="73" t="e">
        <f t="shared" si="4"/>
        <v>#DIV/0!</v>
      </c>
      <c r="R21" s="73" t="e">
        <f t="shared" si="5"/>
        <v>#DIV/0!</v>
      </c>
      <c r="S21" s="73" t="e">
        <f t="shared" si="6"/>
        <v>#DIV/0!</v>
      </c>
      <c r="T21" s="73" t="e">
        <f t="shared" si="7"/>
        <v>#DIV/0!</v>
      </c>
      <c r="U21" s="73" t="e">
        <f t="shared" si="8"/>
        <v>#DIV/0!</v>
      </c>
      <c r="V21" s="73" t="e">
        <f t="shared" si="9"/>
        <v>#DIV/0!</v>
      </c>
      <c r="W21" s="73" t="e">
        <f t="shared" si="10"/>
        <v>#DIV/0!</v>
      </c>
      <c r="X21" s="96"/>
    </row>
    <row r="22" spans="1:24" outlineLevel="1">
      <c r="A22" s="72" t="s">
        <v>42</v>
      </c>
      <c r="B22" s="95"/>
      <c r="C22" s="73"/>
      <c r="D22" s="73"/>
      <c r="E22" s="73"/>
      <c r="F22" s="73"/>
      <c r="G22" s="188"/>
      <c r="H22" s="188"/>
      <c r="I22" s="188"/>
      <c r="J22" s="188"/>
      <c r="K22" s="188"/>
      <c r="L22" s="73" t="e">
        <f t="shared" si="0"/>
        <v>#DIV/0!</v>
      </c>
      <c r="M22" s="73" t="e">
        <f t="shared" si="1"/>
        <v>#DIV/0!</v>
      </c>
      <c r="N22" s="73">
        <f t="shared" si="11"/>
        <v>0</v>
      </c>
      <c r="O22" s="73" t="e">
        <f t="shared" si="2"/>
        <v>#DIV/0!</v>
      </c>
      <c r="P22" s="73" t="e">
        <f t="shared" si="3"/>
        <v>#DIV/0!</v>
      </c>
      <c r="Q22" s="73" t="e">
        <f t="shared" si="4"/>
        <v>#DIV/0!</v>
      </c>
      <c r="R22" s="73" t="e">
        <f t="shared" si="5"/>
        <v>#DIV/0!</v>
      </c>
      <c r="S22" s="73" t="e">
        <f t="shared" si="6"/>
        <v>#DIV/0!</v>
      </c>
      <c r="T22" s="73" t="e">
        <f t="shared" si="7"/>
        <v>#DIV/0!</v>
      </c>
      <c r="U22" s="73" t="e">
        <f t="shared" si="8"/>
        <v>#DIV/0!</v>
      </c>
      <c r="V22" s="73" t="e">
        <f t="shared" si="9"/>
        <v>#DIV/0!</v>
      </c>
      <c r="W22" s="73" t="e">
        <f t="shared" si="10"/>
        <v>#DIV/0!</v>
      </c>
      <c r="X22" s="96"/>
    </row>
    <row r="23" spans="1:24" outlineLevel="1">
      <c r="A23" s="72" t="s">
        <v>54</v>
      </c>
      <c r="B23" s="95"/>
      <c r="C23" s="73"/>
      <c r="D23" s="73"/>
      <c r="E23" s="168">
        <v>315777</v>
      </c>
      <c r="F23" s="168">
        <v>317974</v>
      </c>
      <c r="G23" s="168">
        <v>324594</v>
      </c>
      <c r="H23" s="168">
        <v>327656</v>
      </c>
      <c r="I23" s="168">
        <v>332006</v>
      </c>
      <c r="J23" s="168">
        <v>334000</v>
      </c>
      <c r="K23" s="168">
        <v>341073</v>
      </c>
      <c r="L23" s="73">
        <f>AVERAGE(E23:K23)</f>
        <v>327582.85714285716</v>
      </c>
      <c r="M23" s="73">
        <f t="shared" si="1"/>
        <v>319448.33333333331</v>
      </c>
      <c r="N23" s="73">
        <f t="shared" si="11"/>
        <v>342228</v>
      </c>
      <c r="O23" s="73">
        <f t="shared" si="2"/>
        <v>346980.99144227605</v>
      </c>
      <c r="P23" s="73">
        <f t="shared" si="3"/>
        <v>348155.99809808237</v>
      </c>
      <c r="Q23" s="73">
        <f t="shared" si="4"/>
        <v>352991.31981207791</v>
      </c>
      <c r="R23" s="73">
        <f t="shared" si="5"/>
        <v>357893.7962963648</v>
      </c>
      <c r="S23" s="73">
        <f t="shared" si="6"/>
        <v>362864.36022170202</v>
      </c>
      <c r="T23" s="73">
        <f t="shared" si="7"/>
        <v>367903.95721213159</v>
      </c>
      <c r="U23" s="73">
        <f t="shared" si="8"/>
        <v>373013.54602487851</v>
      </c>
      <c r="V23" s="73">
        <f t="shared" si="9"/>
        <v>378194.09873274952</v>
      </c>
      <c r="W23" s="73">
        <f t="shared" si="10"/>
        <v>383446.60090906487</v>
      </c>
      <c r="X23" s="96"/>
    </row>
    <row r="24" spans="1:24" outlineLevel="1">
      <c r="A24" s="72" t="s">
        <v>438</v>
      </c>
      <c r="B24" s="95"/>
      <c r="C24" s="73"/>
      <c r="D24" s="73"/>
      <c r="E24" s="73"/>
      <c r="F24" s="73"/>
      <c r="G24" s="73"/>
      <c r="H24" s="73"/>
      <c r="I24" s="73"/>
      <c r="J24" s="73"/>
      <c r="K24" s="73"/>
      <c r="L24" s="73" t="e">
        <f t="shared" si="0"/>
        <v>#DIV/0!</v>
      </c>
      <c r="M24" s="73" t="e">
        <f t="shared" si="1"/>
        <v>#DIV/0!</v>
      </c>
      <c r="N24" s="73">
        <f t="shared" si="11"/>
        <v>0</v>
      </c>
      <c r="O24" s="73" t="e">
        <f t="shared" si="2"/>
        <v>#DIV/0!</v>
      </c>
      <c r="P24" s="73" t="e">
        <f t="shared" si="3"/>
        <v>#DIV/0!</v>
      </c>
      <c r="Q24" s="73" t="e">
        <f t="shared" si="4"/>
        <v>#DIV/0!</v>
      </c>
      <c r="R24" s="73" t="e">
        <f t="shared" si="5"/>
        <v>#DIV/0!</v>
      </c>
      <c r="S24" s="73" t="e">
        <f t="shared" si="6"/>
        <v>#DIV/0!</v>
      </c>
      <c r="T24" s="73" t="e">
        <f t="shared" si="7"/>
        <v>#DIV/0!</v>
      </c>
      <c r="U24" s="73" t="e">
        <f t="shared" si="8"/>
        <v>#DIV/0!</v>
      </c>
      <c r="V24" s="73" t="e">
        <f t="shared" si="9"/>
        <v>#DIV/0!</v>
      </c>
      <c r="W24" s="73" t="e">
        <f t="shared" si="10"/>
        <v>#DIV/0!</v>
      </c>
      <c r="X24" s="96"/>
    </row>
    <row r="25" spans="1:24" s="159" customFormat="1">
      <c r="A25" s="74" t="s">
        <v>203</v>
      </c>
      <c r="B25" s="93"/>
      <c r="C25" s="75"/>
      <c r="D25" s="75">
        <f t="shared" ref="D25:K25" si="12">SUM(D7:D24)</f>
        <v>3199704.4222371918</v>
      </c>
      <c r="E25" s="75">
        <f t="shared" si="12"/>
        <v>3793808.4222371918</v>
      </c>
      <c r="F25" s="75">
        <f t="shared" si="12"/>
        <v>3797077.4222371918</v>
      </c>
      <c r="G25" s="75">
        <f t="shared" si="12"/>
        <v>4012419.5377897532</v>
      </c>
      <c r="H25" s="75">
        <f t="shared" si="12"/>
        <v>4039280.653342315</v>
      </c>
      <c r="I25" s="75">
        <f t="shared" si="12"/>
        <v>4129703.7688948768</v>
      </c>
      <c r="J25" s="75">
        <f t="shared" si="12"/>
        <v>4963101.8844474386</v>
      </c>
      <c r="K25" s="75">
        <f t="shared" si="12"/>
        <v>4372473</v>
      </c>
      <c r="L25" s="101">
        <f>AVERAGE(E25:J25)</f>
        <v>4122565.2814914607</v>
      </c>
      <c r="M25" s="101">
        <f>AVERAGE(E25:G25)</f>
        <v>3867768.4607547126</v>
      </c>
      <c r="N25" s="75">
        <f t="shared" ref="N25:W25" si="13">SUM(N7:N24)</f>
        <v>4421661.8888948765</v>
      </c>
      <c r="O25" s="75" t="e">
        <f t="shared" si="13"/>
        <v>#DIV/0!</v>
      </c>
      <c r="P25" s="75" t="e">
        <f t="shared" si="13"/>
        <v>#DIV/0!</v>
      </c>
      <c r="Q25" s="75" t="e">
        <f t="shared" si="13"/>
        <v>#DIV/0!</v>
      </c>
      <c r="R25" s="75" t="e">
        <f t="shared" si="13"/>
        <v>#DIV/0!</v>
      </c>
      <c r="S25" s="75" t="e">
        <f t="shared" si="13"/>
        <v>#DIV/0!</v>
      </c>
      <c r="T25" s="75" t="e">
        <f t="shared" si="13"/>
        <v>#DIV/0!</v>
      </c>
      <c r="U25" s="75" t="e">
        <f t="shared" si="13"/>
        <v>#DIV/0!</v>
      </c>
      <c r="V25" s="75" t="e">
        <f t="shared" si="13"/>
        <v>#DIV/0!</v>
      </c>
      <c r="W25" s="75" t="e">
        <f t="shared" si="13"/>
        <v>#DIV/0!</v>
      </c>
      <c r="X25" s="162"/>
    </row>
    <row r="27" spans="1:24">
      <c r="A27" s="71">
        <v>2</v>
      </c>
      <c r="B27" s="71" t="s">
        <v>264</v>
      </c>
      <c r="C27" s="1910" t="s">
        <v>448</v>
      </c>
      <c r="D27" s="1910"/>
      <c r="E27" s="1910"/>
      <c r="F27" s="1910"/>
      <c r="G27" s="1910"/>
      <c r="H27" s="1910"/>
      <c r="I27" s="1910"/>
      <c r="J27" s="1910"/>
      <c r="K27" s="86"/>
      <c r="L27" s="86"/>
      <c r="M27" s="161"/>
      <c r="N27" s="161"/>
      <c r="O27" s="161"/>
      <c r="P27" s="161"/>
      <c r="Q27" s="161"/>
      <c r="R27" s="161"/>
      <c r="S27" s="161"/>
      <c r="T27" s="161"/>
      <c r="U27" s="161"/>
      <c r="V27" s="161"/>
      <c r="W27" s="161"/>
      <c r="X27" s="161"/>
    </row>
    <row r="28" spans="1:24">
      <c r="A28" s="71"/>
      <c r="B28" s="71" t="s">
        <v>357</v>
      </c>
      <c r="C28" s="72">
        <v>2015</v>
      </c>
      <c r="D28" s="72" t="s">
        <v>303</v>
      </c>
      <c r="E28" s="72" t="s">
        <v>304</v>
      </c>
      <c r="F28" s="72" t="s">
        <v>305</v>
      </c>
      <c r="G28" s="72" t="s">
        <v>306</v>
      </c>
      <c r="H28" s="72" t="s">
        <v>307</v>
      </c>
      <c r="I28" s="72" t="s">
        <v>308</v>
      </c>
      <c r="J28" s="72" t="s">
        <v>309</v>
      </c>
      <c r="K28" s="72" t="s">
        <v>340</v>
      </c>
      <c r="L28" s="72" t="s">
        <v>355</v>
      </c>
      <c r="M28" s="72" t="s">
        <v>356</v>
      </c>
      <c r="N28" s="72" t="s">
        <v>341</v>
      </c>
      <c r="O28" s="72" t="s">
        <v>342</v>
      </c>
      <c r="P28" s="72" t="s">
        <v>343</v>
      </c>
      <c r="Q28" s="72" t="s">
        <v>344</v>
      </c>
      <c r="R28" s="72" t="s">
        <v>345</v>
      </c>
      <c r="S28" s="72" t="s">
        <v>346</v>
      </c>
      <c r="T28" s="72" t="s">
        <v>347</v>
      </c>
      <c r="U28" s="72" t="s">
        <v>348</v>
      </c>
      <c r="V28" s="72" t="s">
        <v>349</v>
      </c>
      <c r="W28" s="72" t="s">
        <v>350</v>
      </c>
      <c r="X28" s="72" t="s">
        <v>353</v>
      </c>
    </row>
    <row r="29" spans="1:24">
      <c r="A29" s="71" t="s">
        <v>16</v>
      </c>
      <c r="B29" s="71"/>
      <c r="C29" s="72"/>
      <c r="D29" s="76">
        <f t="shared" ref="D29:K30" si="14">D6-C6</f>
        <v>0</v>
      </c>
      <c r="E29" s="76">
        <f t="shared" si="14"/>
        <v>0</v>
      </c>
      <c r="F29" s="76">
        <f t="shared" si="14"/>
        <v>0</v>
      </c>
      <c r="G29" s="76">
        <f t="shared" si="14"/>
        <v>0</v>
      </c>
      <c r="H29" s="76">
        <f t="shared" si="14"/>
        <v>0</v>
      </c>
      <c r="I29" s="76">
        <f t="shared" si="14"/>
        <v>0</v>
      </c>
      <c r="J29" s="76">
        <f t="shared" si="14"/>
        <v>0</v>
      </c>
      <c r="K29" s="76">
        <f t="shared" si="14"/>
        <v>0</v>
      </c>
      <c r="L29" s="73">
        <f t="shared" ref="L29:L48" si="15">AVERAGE(F29:J29)</f>
        <v>0</v>
      </c>
      <c r="M29" s="73">
        <f t="shared" ref="M29:M48" si="16">AVERAGE(F29:G29)</f>
        <v>0</v>
      </c>
      <c r="N29" s="76">
        <f t="shared" ref="N29:N48" si="17">N6-K6</f>
        <v>0</v>
      </c>
      <c r="O29" s="76" t="e">
        <f t="shared" ref="O29:W29" si="18">O6-N6</f>
        <v>#DIV/0!</v>
      </c>
      <c r="P29" s="76" t="e">
        <f t="shared" si="18"/>
        <v>#DIV/0!</v>
      </c>
      <c r="Q29" s="76" t="e">
        <f t="shared" si="18"/>
        <v>#DIV/0!</v>
      </c>
      <c r="R29" s="76" t="e">
        <f t="shared" si="18"/>
        <v>#DIV/0!</v>
      </c>
      <c r="S29" s="76" t="e">
        <f t="shared" si="18"/>
        <v>#DIV/0!</v>
      </c>
      <c r="T29" s="76" t="e">
        <f t="shared" si="18"/>
        <v>#DIV/0!</v>
      </c>
      <c r="U29" s="76" t="e">
        <f t="shared" si="18"/>
        <v>#DIV/0!</v>
      </c>
      <c r="V29" s="76" t="e">
        <f t="shared" si="18"/>
        <v>#DIV/0!</v>
      </c>
      <c r="W29" s="76" t="e">
        <f t="shared" si="18"/>
        <v>#DIV/0!</v>
      </c>
      <c r="X29" s="72"/>
    </row>
    <row r="30" spans="1:24">
      <c r="A30" s="72" t="s">
        <v>40</v>
      </c>
      <c r="B30" s="94"/>
      <c r="C30" s="76"/>
      <c r="D30" s="76">
        <f t="shared" si="14"/>
        <v>0</v>
      </c>
      <c r="E30" s="76">
        <f t="shared" si="14"/>
        <v>0</v>
      </c>
      <c r="F30" s="76">
        <f t="shared" si="14"/>
        <v>0</v>
      </c>
      <c r="G30" s="76">
        <f t="shared" si="14"/>
        <v>0</v>
      </c>
      <c r="H30" s="76">
        <f t="shared" si="14"/>
        <v>0</v>
      </c>
      <c r="I30" s="76">
        <f t="shared" si="14"/>
        <v>0</v>
      </c>
      <c r="J30" s="76">
        <f t="shared" si="14"/>
        <v>0</v>
      </c>
      <c r="K30" s="76">
        <f t="shared" si="14"/>
        <v>0</v>
      </c>
      <c r="L30" s="73">
        <f t="shared" si="15"/>
        <v>0</v>
      </c>
      <c r="M30" s="73">
        <f t="shared" si="16"/>
        <v>0</v>
      </c>
      <c r="N30" s="76">
        <f t="shared" si="17"/>
        <v>0</v>
      </c>
      <c r="O30" s="76" t="e">
        <f t="shared" ref="O30:W30" si="19">O7-N7</f>
        <v>#DIV/0!</v>
      </c>
      <c r="P30" s="76" t="e">
        <f t="shared" si="19"/>
        <v>#DIV/0!</v>
      </c>
      <c r="Q30" s="76" t="e">
        <f t="shared" si="19"/>
        <v>#DIV/0!</v>
      </c>
      <c r="R30" s="76" t="e">
        <f t="shared" si="19"/>
        <v>#DIV/0!</v>
      </c>
      <c r="S30" s="76" t="e">
        <f t="shared" si="19"/>
        <v>#DIV/0!</v>
      </c>
      <c r="T30" s="76" t="e">
        <f t="shared" si="19"/>
        <v>#DIV/0!</v>
      </c>
      <c r="U30" s="76" t="e">
        <f t="shared" si="19"/>
        <v>#DIV/0!</v>
      </c>
      <c r="V30" s="76" t="e">
        <f t="shared" si="19"/>
        <v>#DIV/0!</v>
      </c>
      <c r="W30" s="76" t="e">
        <f t="shared" si="19"/>
        <v>#DIV/0!</v>
      </c>
      <c r="X30" s="73"/>
    </row>
    <row r="31" spans="1:24">
      <c r="A31" s="72" t="s">
        <v>59</v>
      </c>
      <c r="B31" s="95"/>
      <c r="C31" s="76"/>
      <c r="D31" s="76">
        <f t="shared" ref="D31:K46" si="20">D8-C8</f>
        <v>0</v>
      </c>
      <c r="E31" s="76">
        <f t="shared" si="20"/>
        <v>65216</v>
      </c>
      <c r="F31" s="76">
        <f t="shared" si="20"/>
        <v>1019</v>
      </c>
      <c r="G31" s="76">
        <f t="shared" si="20"/>
        <v>11924</v>
      </c>
      <c r="H31" s="76">
        <f t="shared" si="20"/>
        <v>-4001</v>
      </c>
      <c r="I31" s="76">
        <f t="shared" si="20"/>
        <v>373</v>
      </c>
      <c r="J31" s="76">
        <f t="shared" si="20"/>
        <v>780</v>
      </c>
      <c r="K31" s="76">
        <f t="shared" si="20"/>
        <v>1</v>
      </c>
      <c r="L31" s="73">
        <f t="shared" si="15"/>
        <v>2019</v>
      </c>
      <c r="M31" s="73">
        <f t="shared" si="16"/>
        <v>6471.5</v>
      </c>
      <c r="N31" s="76">
        <f t="shared" si="17"/>
        <v>753.11999999999534</v>
      </c>
      <c r="O31" s="76">
        <f t="shared" ref="O31:W46" si="21">O8-N8</f>
        <v>7441.095700856793</v>
      </c>
      <c r="P31" s="76">
        <f t="shared" si="21"/>
        <v>835.0621570085641</v>
      </c>
      <c r="Q31" s="76">
        <f t="shared" si="21"/>
        <v>8250.7136000433675</v>
      </c>
      <c r="R31" s="76">
        <f t="shared" si="21"/>
        <v>9057.8424062331615</v>
      </c>
      <c r="S31" s="76">
        <f t="shared" si="21"/>
        <v>9943.9288567384647</v>
      </c>
      <c r="T31" s="76">
        <f t="shared" si="21"/>
        <v>10916.697009414784</v>
      </c>
      <c r="U31" s="76">
        <f t="shared" si="21"/>
        <v>11984.626530650174</v>
      </c>
      <c r="V31" s="76">
        <f t="shared" si="21"/>
        <v>13157.026613021648</v>
      </c>
      <c r="W31" s="76">
        <f t="shared" si="21"/>
        <v>14444.117123970849</v>
      </c>
      <c r="X31" s="73"/>
    </row>
    <row r="32" spans="1:24">
      <c r="A32" s="72" t="s">
        <v>43</v>
      </c>
      <c r="B32" s="95"/>
      <c r="C32" s="76"/>
      <c r="D32" s="76">
        <f t="shared" si="20"/>
        <v>3199704.4222371918</v>
      </c>
      <c r="E32" s="76">
        <f t="shared" si="20"/>
        <v>0</v>
      </c>
      <c r="F32" s="76">
        <f t="shared" si="20"/>
        <v>0</v>
      </c>
      <c r="G32" s="76">
        <f t="shared" si="20"/>
        <v>58367.115552561358</v>
      </c>
      <c r="H32" s="76">
        <f t="shared" si="20"/>
        <v>58367.115552561823</v>
      </c>
      <c r="I32" s="76">
        <f t="shared" si="20"/>
        <v>58367.115552561823</v>
      </c>
      <c r="J32" s="76">
        <f t="shared" si="20"/>
        <v>58367.115552561358</v>
      </c>
      <c r="K32" s="76">
        <f t="shared" si="20"/>
        <v>58367.115552561823</v>
      </c>
      <c r="L32" s="73">
        <f t="shared" si="15"/>
        <v>46693.692442049272</v>
      </c>
      <c r="M32" s="73">
        <f t="shared" si="16"/>
        <v>29183.557776280679</v>
      </c>
      <c r="N32" s="76">
        <f t="shared" si="17"/>
        <v>-116734.23110512411</v>
      </c>
      <c r="O32" s="76">
        <f t="shared" si="21"/>
        <v>30780.605375857558</v>
      </c>
      <c r="P32" s="76">
        <f t="shared" si="21"/>
        <v>-113860.50478086481</v>
      </c>
      <c r="Q32" s="76">
        <f t="shared" si="21"/>
        <v>30022.858182871714</v>
      </c>
      <c r="R32" s="76">
        <f t="shared" si="21"/>
        <v>30296.687793600839</v>
      </c>
      <c r="S32" s="76">
        <f t="shared" si="21"/>
        <v>30573.014923228882</v>
      </c>
      <c r="T32" s="76">
        <f t="shared" si="21"/>
        <v>30851.862350886688</v>
      </c>
      <c r="U32" s="76">
        <f t="shared" si="21"/>
        <v>31133.253063468263</v>
      </c>
      <c r="V32" s="76">
        <f t="shared" si="21"/>
        <v>31417.210257522296</v>
      </c>
      <c r="W32" s="76">
        <f t="shared" si="21"/>
        <v>31703.75734116789</v>
      </c>
      <c r="X32" s="73"/>
    </row>
    <row r="33" spans="1:24">
      <c r="A33" s="72" t="s">
        <v>44</v>
      </c>
      <c r="B33" s="95"/>
      <c r="C33" s="76"/>
      <c r="D33" s="76">
        <f t="shared" si="20"/>
        <v>0</v>
      </c>
      <c r="E33" s="76">
        <f t="shared" si="20"/>
        <v>0</v>
      </c>
      <c r="F33" s="76">
        <f t="shared" si="20"/>
        <v>0</v>
      </c>
      <c r="G33" s="76">
        <f t="shared" si="20"/>
        <v>0</v>
      </c>
      <c r="H33" s="76">
        <f t="shared" si="20"/>
        <v>0</v>
      </c>
      <c r="I33" s="76">
        <f t="shared" si="20"/>
        <v>0</v>
      </c>
      <c r="J33" s="76">
        <f t="shared" si="20"/>
        <v>0</v>
      </c>
      <c r="K33" s="76">
        <f t="shared" si="20"/>
        <v>0</v>
      </c>
      <c r="L33" s="73">
        <f t="shared" si="15"/>
        <v>0</v>
      </c>
      <c r="M33" s="73">
        <f t="shared" si="16"/>
        <v>0</v>
      </c>
      <c r="N33" s="76">
        <f t="shared" si="17"/>
        <v>0</v>
      </c>
      <c r="O33" s="76" t="e">
        <f t="shared" si="21"/>
        <v>#DIV/0!</v>
      </c>
      <c r="P33" s="76" t="e">
        <f t="shared" si="21"/>
        <v>#DIV/0!</v>
      </c>
      <c r="Q33" s="76" t="e">
        <f t="shared" si="21"/>
        <v>#DIV/0!</v>
      </c>
      <c r="R33" s="76" t="e">
        <f t="shared" si="21"/>
        <v>#DIV/0!</v>
      </c>
      <c r="S33" s="76" t="e">
        <f t="shared" si="21"/>
        <v>#DIV/0!</v>
      </c>
      <c r="T33" s="76" t="e">
        <f t="shared" si="21"/>
        <v>#DIV/0!</v>
      </c>
      <c r="U33" s="76" t="e">
        <f t="shared" si="21"/>
        <v>#DIV/0!</v>
      </c>
      <c r="V33" s="76" t="e">
        <f t="shared" si="21"/>
        <v>#DIV/0!</v>
      </c>
      <c r="W33" s="76" t="e">
        <f t="shared" si="21"/>
        <v>#DIV/0!</v>
      </c>
      <c r="X33" s="73"/>
    </row>
    <row r="34" spans="1:24">
      <c r="A34" s="72" t="s">
        <v>57</v>
      </c>
      <c r="B34" s="95"/>
      <c r="C34" s="76"/>
      <c r="D34" s="76">
        <f t="shared" si="20"/>
        <v>0</v>
      </c>
      <c r="E34" s="76">
        <f t="shared" si="20"/>
        <v>0</v>
      </c>
      <c r="F34" s="76">
        <f t="shared" si="20"/>
        <v>0</v>
      </c>
      <c r="G34" s="76">
        <f t="shared" si="20"/>
        <v>0</v>
      </c>
      <c r="H34" s="76">
        <f t="shared" si="20"/>
        <v>0</v>
      </c>
      <c r="I34" s="76">
        <f t="shared" si="20"/>
        <v>0</v>
      </c>
      <c r="J34" s="76">
        <f t="shared" si="20"/>
        <v>0</v>
      </c>
      <c r="K34" s="76">
        <f t="shared" si="20"/>
        <v>0</v>
      </c>
      <c r="L34" s="73">
        <f t="shared" si="15"/>
        <v>0</v>
      </c>
      <c r="M34" s="73">
        <f t="shared" si="16"/>
        <v>0</v>
      </c>
      <c r="N34" s="76">
        <f t="shared" si="17"/>
        <v>0</v>
      </c>
      <c r="O34" s="76" t="e">
        <f t="shared" si="21"/>
        <v>#DIV/0!</v>
      </c>
      <c r="P34" s="76" t="e">
        <f t="shared" si="21"/>
        <v>#DIV/0!</v>
      </c>
      <c r="Q34" s="76" t="e">
        <f t="shared" si="21"/>
        <v>#DIV/0!</v>
      </c>
      <c r="R34" s="76" t="e">
        <f t="shared" si="21"/>
        <v>#DIV/0!</v>
      </c>
      <c r="S34" s="76" t="e">
        <f t="shared" si="21"/>
        <v>#DIV/0!</v>
      </c>
      <c r="T34" s="76" t="e">
        <f t="shared" si="21"/>
        <v>#DIV/0!</v>
      </c>
      <c r="U34" s="76" t="e">
        <f t="shared" si="21"/>
        <v>#DIV/0!</v>
      </c>
      <c r="V34" s="76" t="e">
        <f t="shared" si="21"/>
        <v>#DIV/0!</v>
      </c>
      <c r="W34" s="76" t="e">
        <f t="shared" si="21"/>
        <v>#DIV/0!</v>
      </c>
      <c r="X34" s="73"/>
    </row>
    <row r="35" spans="1:24">
      <c r="A35" s="72" t="s">
        <v>55</v>
      </c>
      <c r="B35" s="95"/>
      <c r="C35" s="76"/>
      <c r="D35" s="76">
        <f t="shared" si="20"/>
        <v>0</v>
      </c>
      <c r="E35" s="76">
        <f t="shared" si="20"/>
        <v>0</v>
      </c>
      <c r="F35" s="76">
        <f t="shared" si="20"/>
        <v>0</v>
      </c>
      <c r="G35" s="76">
        <f t="shared" si="20"/>
        <v>0</v>
      </c>
      <c r="H35" s="76">
        <f t="shared" si="20"/>
        <v>0</v>
      </c>
      <c r="I35" s="76">
        <f t="shared" si="20"/>
        <v>0</v>
      </c>
      <c r="J35" s="76">
        <f t="shared" si="20"/>
        <v>219857</v>
      </c>
      <c r="K35" s="76">
        <f t="shared" si="20"/>
        <v>-5286</v>
      </c>
      <c r="L35" s="73">
        <f t="shared" si="15"/>
        <v>43971.4</v>
      </c>
      <c r="M35" s="73">
        <f t="shared" si="16"/>
        <v>0</v>
      </c>
      <c r="N35" s="76">
        <f t="shared" si="17"/>
        <v>-214571</v>
      </c>
      <c r="O35" s="76" t="e">
        <f t="shared" si="21"/>
        <v>#DIV/0!</v>
      </c>
      <c r="P35" s="76" t="e">
        <f t="shared" si="21"/>
        <v>#DIV/0!</v>
      </c>
      <c r="Q35" s="76" t="e">
        <f t="shared" si="21"/>
        <v>#DIV/0!</v>
      </c>
      <c r="R35" s="76" t="e">
        <f t="shared" si="21"/>
        <v>#DIV/0!</v>
      </c>
      <c r="S35" s="76" t="e">
        <f t="shared" si="21"/>
        <v>#DIV/0!</v>
      </c>
      <c r="T35" s="76" t="e">
        <f t="shared" si="21"/>
        <v>#DIV/0!</v>
      </c>
      <c r="U35" s="76" t="e">
        <f t="shared" si="21"/>
        <v>#DIV/0!</v>
      </c>
      <c r="V35" s="76" t="e">
        <f t="shared" si="21"/>
        <v>#DIV/0!</v>
      </c>
      <c r="W35" s="76" t="e">
        <f t="shared" si="21"/>
        <v>#DIV/0!</v>
      </c>
      <c r="X35" s="73"/>
    </row>
    <row r="36" spans="1:24">
      <c r="A36" s="72" t="s">
        <v>45</v>
      </c>
      <c r="B36" s="95"/>
      <c r="C36" s="76"/>
      <c r="D36" s="76">
        <f t="shared" si="20"/>
        <v>0</v>
      </c>
      <c r="E36" s="76">
        <f t="shared" si="20"/>
        <v>0</v>
      </c>
      <c r="F36" s="76">
        <f t="shared" si="20"/>
        <v>0</v>
      </c>
      <c r="G36" s="76">
        <f t="shared" si="20"/>
        <v>0</v>
      </c>
      <c r="H36" s="76">
        <f t="shared" si="20"/>
        <v>0</v>
      </c>
      <c r="I36" s="76">
        <f t="shared" si="20"/>
        <v>0</v>
      </c>
      <c r="J36" s="76">
        <f t="shared" si="20"/>
        <v>452000</v>
      </c>
      <c r="K36" s="76">
        <f t="shared" si="20"/>
        <v>-452000</v>
      </c>
      <c r="L36" s="73">
        <f t="shared" si="15"/>
        <v>90400</v>
      </c>
      <c r="M36" s="73">
        <f t="shared" si="16"/>
        <v>0</v>
      </c>
      <c r="N36" s="76">
        <f t="shared" si="17"/>
        <v>0</v>
      </c>
      <c r="O36" s="76" t="e">
        <f t="shared" si="21"/>
        <v>#DIV/0!</v>
      </c>
      <c r="P36" s="76" t="e">
        <f t="shared" si="21"/>
        <v>#DIV/0!</v>
      </c>
      <c r="Q36" s="76" t="e">
        <f t="shared" si="21"/>
        <v>#DIV/0!</v>
      </c>
      <c r="R36" s="76" t="e">
        <f t="shared" si="21"/>
        <v>#DIV/0!</v>
      </c>
      <c r="S36" s="76" t="e">
        <f t="shared" si="21"/>
        <v>#DIV/0!</v>
      </c>
      <c r="T36" s="76" t="e">
        <f t="shared" si="21"/>
        <v>#DIV/0!</v>
      </c>
      <c r="U36" s="76" t="e">
        <f t="shared" si="21"/>
        <v>#DIV/0!</v>
      </c>
      <c r="V36" s="76" t="e">
        <f t="shared" si="21"/>
        <v>#DIV/0!</v>
      </c>
      <c r="W36" s="76" t="e">
        <f t="shared" si="21"/>
        <v>#DIV/0!</v>
      </c>
      <c r="X36" s="73"/>
    </row>
    <row r="37" spans="1:24" outlineLevel="1">
      <c r="A37" s="72" t="s">
        <v>48</v>
      </c>
      <c r="B37" s="95"/>
      <c r="C37" s="73"/>
      <c r="D37" s="76">
        <f t="shared" si="20"/>
        <v>0</v>
      </c>
      <c r="E37" s="76">
        <f t="shared" si="20"/>
        <v>0</v>
      </c>
      <c r="F37" s="76">
        <f t="shared" si="20"/>
        <v>0</v>
      </c>
      <c r="G37" s="76">
        <f t="shared" si="20"/>
        <v>0</v>
      </c>
      <c r="H37" s="76">
        <f t="shared" si="20"/>
        <v>0</v>
      </c>
      <c r="I37" s="76">
        <f t="shared" si="20"/>
        <v>0</v>
      </c>
      <c r="J37" s="76">
        <f t="shared" si="20"/>
        <v>0</v>
      </c>
      <c r="K37" s="76">
        <f t="shared" si="20"/>
        <v>0</v>
      </c>
      <c r="L37" s="73">
        <f t="shared" si="15"/>
        <v>0</v>
      </c>
      <c r="M37" s="73">
        <f t="shared" si="16"/>
        <v>0</v>
      </c>
      <c r="N37" s="76">
        <f t="shared" si="17"/>
        <v>0</v>
      </c>
      <c r="O37" s="76" t="e">
        <f t="shared" si="21"/>
        <v>#DIV/0!</v>
      </c>
      <c r="P37" s="76" t="e">
        <f t="shared" si="21"/>
        <v>#DIV/0!</v>
      </c>
      <c r="Q37" s="76" t="e">
        <f t="shared" si="21"/>
        <v>#DIV/0!</v>
      </c>
      <c r="R37" s="76" t="e">
        <f t="shared" si="21"/>
        <v>#DIV/0!</v>
      </c>
      <c r="S37" s="76" t="e">
        <f t="shared" si="21"/>
        <v>#DIV/0!</v>
      </c>
      <c r="T37" s="76" t="e">
        <f t="shared" si="21"/>
        <v>#DIV/0!</v>
      </c>
      <c r="U37" s="76" t="e">
        <f t="shared" si="21"/>
        <v>#DIV/0!</v>
      </c>
      <c r="V37" s="76" t="e">
        <f t="shared" si="21"/>
        <v>#DIV/0!</v>
      </c>
      <c r="W37" s="76" t="e">
        <f t="shared" si="21"/>
        <v>#DIV/0!</v>
      </c>
      <c r="X37" s="96"/>
    </row>
    <row r="38" spans="1:24" outlineLevel="1">
      <c r="A38" s="72" t="s">
        <v>50</v>
      </c>
      <c r="B38" s="95"/>
      <c r="C38" s="73"/>
      <c r="D38" s="76">
        <f t="shared" si="20"/>
        <v>0</v>
      </c>
      <c r="E38" s="76">
        <f t="shared" si="20"/>
        <v>0</v>
      </c>
      <c r="F38" s="76">
        <f t="shared" si="20"/>
        <v>0</v>
      </c>
      <c r="G38" s="76">
        <f t="shared" si="20"/>
        <v>0</v>
      </c>
      <c r="H38" s="76">
        <f t="shared" si="20"/>
        <v>0</v>
      </c>
      <c r="I38" s="76">
        <f t="shared" si="20"/>
        <v>0</v>
      </c>
      <c r="J38" s="76">
        <f t="shared" si="20"/>
        <v>101750</v>
      </c>
      <c r="K38" s="76">
        <f t="shared" si="20"/>
        <v>-527</v>
      </c>
      <c r="L38" s="73">
        <f t="shared" si="15"/>
        <v>20350</v>
      </c>
      <c r="M38" s="73">
        <f t="shared" si="16"/>
        <v>0</v>
      </c>
      <c r="N38" s="76">
        <f t="shared" si="17"/>
        <v>-101223</v>
      </c>
      <c r="O38" s="76" t="e">
        <f t="shared" si="21"/>
        <v>#DIV/0!</v>
      </c>
      <c r="P38" s="76" t="e">
        <f t="shared" si="21"/>
        <v>#DIV/0!</v>
      </c>
      <c r="Q38" s="76" t="e">
        <f t="shared" si="21"/>
        <v>#DIV/0!</v>
      </c>
      <c r="R38" s="76" t="e">
        <f t="shared" si="21"/>
        <v>#DIV/0!</v>
      </c>
      <c r="S38" s="76" t="e">
        <f t="shared" si="21"/>
        <v>#DIV/0!</v>
      </c>
      <c r="T38" s="76" t="e">
        <f t="shared" si="21"/>
        <v>#DIV/0!</v>
      </c>
      <c r="U38" s="76" t="e">
        <f t="shared" si="21"/>
        <v>#DIV/0!</v>
      </c>
      <c r="V38" s="76" t="e">
        <f t="shared" si="21"/>
        <v>#DIV/0!</v>
      </c>
      <c r="W38" s="76" t="e">
        <f t="shared" si="21"/>
        <v>#DIV/0!</v>
      </c>
      <c r="X38" s="96"/>
    </row>
    <row r="39" spans="1:24" outlineLevel="1">
      <c r="A39" s="72" t="s">
        <v>47</v>
      </c>
      <c r="B39" s="95"/>
      <c r="C39" s="73"/>
      <c r="D39" s="76">
        <f t="shared" si="20"/>
        <v>0</v>
      </c>
      <c r="E39" s="76">
        <f t="shared" si="20"/>
        <v>0</v>
      </c>
      <c r="F39" s="76">
        <f t="shared" si="20"/>
        <v>0</v>
      </c>
      <c r="G39" s="76">
        <f t="shared" si="20"/>
        <v>0</v>
      </c>
      <c r="H39" s="76">
        <f t="shared" si="20"/>
        <v>0</v>
      </c>
      <c r="I39" s="76">
        <f t="shared" si="20"/>
        <v>0</v>
      </c>
      <c r="J39" s="76">
        <f t="shared" si="20"/>
        <v>0</v>
      </c>
      <c r="K39" s="76">
        <f t="shared" si="20"/>
        <v>0</v>
      </c>
      <c r="L39" s="73">
        <f t="shared" si="15"/>
        <v>0</v>
      </c>
      <c r="M39" s="73">
        <f t="shared" si="16"/>
        <v>0</v>
      </c>
      <c r="N39" s="76">
        <f t="shared" si="17"/>
        <v>0</v>
      </c>
      <c r="O39" s="76" t="e">
        <f t="shared" si="21"/>
        <v>#DIV/0!</v>
      </c>
      <c r="P39" s="76" t="e">
        <f t="shared" si="21"/>
        <v>#DIV/0!</v>
      </c>
      <c r="Q39" s="76" t="e">
        <f t="shared" si="21"/>
        <v>#DIV/0!</v>
      </c>
      <c r="R39" s="76" t="e">
        <f t="shared" si="21"/>
        <v>#DIV/0!</v>
      </c>
      <c r="S39" s="76" t="e">
        <f t="shared" si="21"/>
        <v>#DIV/0!</v>
      </c>
      <c r="T39" s="76" t="e">
        <f t="shared" si="21"/>
        <v>#DIV/0!</v>
      </c>
      <c r="U39" s="76" t="e">
        <f t="shared" si="21"/>
        <v>#DIV/0!</v>
      </c>
      <c r="V39" s="76" t="e">
        <f t="shared" si="21"/>
        <v>#DIV/0!</v>
      </c>
      <c r="W39" s="76" t="e">
        <f t="shared" si="21"/>
        <v>#DIV/0!</v>
      </c>
      <c r="X39" s="96"/>
    </row>
    <row r="40" spans="1:24" outlineLevel="1">
      <c r="A40" s="72" t="s">
        <v>52</v>
      </c>
      <c r="B40" s="95"/>
      <c r="C40" s="73"/>
      <c r="D40" s="76">
        <f t="shared" si="20"/>
        <v>0</v>
      </c>
      <c r="E40" s="76">
        <f t="shared" si="20"/>
        <v>127277</v>
      </c>
      <c r="F40" s="76">
        <f t="shared" si="20"/>
        <v>-884</v>
      </c>
      <c r="G40" s="76">
        <f t="shared" si="20"/>
        <v>-540</v>
      </c>
      <c r="H40" s="76">
        <f t="shared" si="20"/>
        <v>-6705</v>
      </c>
      <c r="I40" s="76">
        <f t="shared" si="20"/>
        <v>8788</v>
      </c>
      <c r="J40" s="76">
        <f t="shared" si="20"/>
        <v>-1934</v>
      </c>
      <c r="K40" s="76">
        <f t="shared" si="20"/>
        <v>-126002</v>
      </c>
      <c r="L40" s="73">
        <f t="shared" si="15"/>
        <v>-255</v>
      </c>
      <c r="M40" s="73">
        <f t="shared" si="16"/>
        <v>-712</v>
      </c>
      <c r="N40" s="76">
        <f t="shared" si="17"/>
        <v>123005</v>
      </c>
      <c r="O40" s="76">
        <f t="shared" si="21"/>
        <v>-689.92702621295757</v>
      </c>
      <c r="P40" s="76" t="e">
        <f t="shared" si="21"/>
        <v>#DIV/0!</v>
      </c>
      <c r="Q40" s="76" t="e">
        <f t="shared" si="21"/>
        <v>#DIV/0!</v>
      </c>
      <c r="R40" s="76" t="e">
        <f t="shared" si="21"/>
        <v>#DIV/0!</v>
      </c>
      <c r="S40" s="76" t="e">
        <f t="shared" si="21"/>
        <v>#DIV/0!</v>
      </c>
      <c r="T40" s="76" t="e">
        <f t="shared" si="21"/>
        <v>#DIV/0!</v>
      </c>
      <c r="U40" s="76" t="e">
        <f t="shared" si="21"/>
        <v>#DIV/0!</v>
      </c>
      <c r="V40" s="76" t="e">
        <f t="shared" si="21"/>
        <v>#DIV/0!</v>
      </c>
      <c r="W40" s="76" t="e">
        <f t="shared" si="21"/>
        <v>#DIV/0!</v>
      </c>
      <c r="X40" s="96"/>
    </row>
    <row r="41" spans="1:24" outlineLevel="1">
      <c r="A41" s="72" t="s">
        <v>60</v>
      </c>
      <c r="B41" s="95"/>
      <c r="C41" s="73"/>
      <c r="D41" s="76">
        <f t="shared" si="20"/>
        <v>0</v>
      </c>
      <c r="E41" s="76">
        <f t="shared" si="20"/>
        <v>0</v>
      </c>
      <c r="F41" s="76">
        <f t="shared" si="20"/>
        <v>0</v>
      </c>
      <c r="G41" s="76">
        <f t="shared" si="20"/>
        <v>0</v>
      </c>
      <c r="H41" s="76">
        <f t="shared" si="20"/>
        <v>0</v>
      </c>
      <c r="I41" s="76">
        <f t="shared" si="20"/>
        <v>0</v>
      </c>
      <c r="J41" s="76">
        <f t="shared" si="20"/>
        <v>0</v>
      </c>
      <c r="K41" s="76">
        <f t="shared" si="20"/>
        <v>0</v>
      </c>
      <c r="L41" s="73">
        <f t="shared" si="15"/>
        <v>0</v>
      </c>
      <c r="M41" s="73">
        <f t="shared" si="16"/>
        <v>0</v>
      </c>
      <c r="N41" s="76">
        <f t="shared" si="17"/>
        <v>0</v>
      </c>
      <c r="O41" s="76" t="e">
        <f t="shared" si="21"/>
        <v>#DIV/0!</v>
      </c>
      <c r="P41" s="76" t="e">
        <f t="shared" si="21"/>
        <v>#DIV/0!</v>
      </c>
      <c r="Q41" s="76" t="e">
        <f t="shared" si="21"/>
        <v>#DIV/0!</v>
      </c>
      <c r="R41" s="76" t="e">
        <f t="shared" si="21"/>
        <v>#DIV/0!</v>
      </c>
      <c r="S41" s="76" t="e">
        <f t="shared" si="21"/>
        <v>#DIV/0!</v>
      </c>
      <c r="T41" s="76" t="e">
        <f t="shared" si="21"/>
        <v>#DIV/0!</v>
      </c>
      <c r="U41" s="76" t="e">
        <f t="shared" si="21"/>
        <v>#DIV/0!</v>
      </c>
      <c r="V41" s="76" t="e">
        <f t="shared" si="21"/>
        <v>#DIV/0!</v>
      </c>
      <c r="W41" s="76" t="e">
        <f t="shared" si="21"/>
        <v>#DIV/0!</v>
      </c>
      <c r="X41" s="96"/>
    </row>
    <row r="42" spans="1:24" outlineLevel="1">
      <c r="A42" s="72" t="s">
        <v>58</v>
      </c>
      <c r="B42" s="95"/>
      <c r="C42" s="73"/>
      <c r="D42" s="76">
        <f t="shared" si="20"/>
        <v>0</v>
      </c>
      <c r="E42" s="76">
        <f t="shared" si="20"/>
        <v>85834</v>
      </c>
      <c r="F42" s="76">
        <f t="shared" si="20"/>
        <v>937</v>
      </c>
      <c r="G42" s="76">
        <f t="shared" si="20"/>
        <v>-1279</v>
      </c>
      <c r="H42" s="76">
        <f t="shared" si="20"/>
        <v>-15832</v>
      </c>
      <c r="I42" s="76">
        <f t="shared" si="20"/>
        <v>10265</v>
      </c>
      <c r="J42" s="76">
        <f t="shared" si="20"/>
        <v>-1416</v>
      </c>
      <c r="K42" s="76">
        <f t="shared" si="20"/>
        <v>-78509</v>
      </c>
      <c r="L42" s="73">
        <f t="shared" si="15"/>
        <v>-1465</v>
      </c>
      <c r="M42" s="73">
        <f t="shared" si="16"/>
        <v>-171</v>
      </c>
      <c r="N42" s="76">
        <f t="shared" si="17"/>
        <v>84808</v>
      </c>
      <c r="O42" s="76">
        <f t="shared" si="21"/>
        <v>-162.13286484786659</v>
      </c>
      <c r="P42" s="76" t="e">
        <f t="shared" si="21"/>
        <v>#DIV/0!</v>
      </c>
      <c r="Q42" s="76" t="e">
        <f t="shared" si="21"/>
        <v>#DIV/0!</v>
      </c>
      <c r="R42" s="76" t="e">
        <f t="shared" si="21"/>
        <v>#DIV/0!</v>
      </c>
      <c r="S42" s="76" t="e">
        <f t="shared" si="21"/>
        <v>#DIV/0!</v>
      </c>
      <c r="T42" s="76" t="e">
        <f t="shared" si="21"/>
        <v>#DIV/0!</v>
      </c>
      <c r="U42" s="76" t="e">
        <f t="shared" si="21"/>
        <v>#DIV/0!</v>
      </c>
      <c r="V42" s="76" t="e">
        <f t="shared" si="21"/>
        <v>#DIV/0!</v>
      </c>
      <c r="W42" s="76" t="e">
        <f t="shared" si="21"/>
        <v>#DIV/0!</v>
      </c>
      <c r="X42" s="96"/>
    </row>
    <row r="43" spans="1:24" outlineLevel="1">
      <c r="A43" s="72" t="s">
        <v>49</v>
      </c>
      <c r="B43" s="95"/>
      <c r="C43" s="73"/>
      <c r="D43" s="76">
        <f t="shared" si="20"/>
        <v>0</v>
      </c>
      <c r="E43" s="76">
        <f t="shared" si="20"/>
        <v>0</v>
      </c>
      <c r="F43" s="76">
        <f t="shared" si="20"/>
        <v>0</v>
      </c>
      <c r="G43" s="76">
        <f t="shared" si="20"/>
        <v>0</v>
      </c>
      <c r="H43" s="76">
        <f t="shared" si="20"/>
        <v>0</v>
      </c>
      <c r="I43" s="76">
        <f t="shared" si="20"/>
        <v>0</v>
      </c>
      <c r="J43" s="76">
        <f t="shared" si="20"/>
        <v>0</v>
      </c>
      <c r="K43" s="76">
        <f t="shared" si="20"/>
        <v>0</v>
      </c>
      <c r="L43" s="73">
        <f t="shared" si="15"/>
        <v>0</v>
      </c>
      <c r="M43" s="73">
        <f t="shared" si="16"/>
        <v>0</v>
      </c>
      <c r="N43" s="76">
        <f t="shared" si="17"/>
        <v>0</v>
      </c>
      <c r="O43" s="76" t="e">
        <f t="shared" si="21"/>
        <v>#DIV/0!</v>
      </c>
      <c r="P43" s="76" t="e">
        <f t="shared" si="21"/>
        <v>#DIV/0!</v>
      </c>
      <c r="Q43" s="76" t="e">
        <f t="shared" si="21"/>
        <v>#DIV/0!</v>
      </c>
      <c r="R43" s="76" t="e">
        <f t="shared" si="21"/>
        <v>#DIV/0!</v>
      </c>
      <c r="S43" s="76" t="e">
        <f t="shared" si="21"/>
        <v>#DIV/0!</v>
      </c>
      <c r="T43" s="76" t="e">
        <f t="shared" si="21"/>
        <v>#DIV/0!</v>
      </c>
      <c r="U43" s="76" t="e">
        <f t="shared" si="21"/>
        <v>#DIV/0!</v>
      </c>
      <c r="V43" s="76" t="e">
        <f t="shared" si="21"/>
        <v>#DIV/0!</v>
      </c>
      <c r="W43" s="76" t="e">
        <f t="shared" si="21"/>
        <v>#DIV/0!</v>
      </c>
      <c r="X43" s="96"/>
    </row>
    <row r="44" spans="1:24" outlineLevel="1">
      <c r="A44" s="72" t="s">
        <v>53</v>
      </c>
      <c r="B44" s="95"/>
      <c r="C44" s="73"/>
      <c r="D44" s="76">
        <f t="shared" si="20"/>
        <v>0</v>
      </c>
      <c r="E44" s="76">
        <f t="shared" si="20"/>
        <v>0</v>
      </c>
      <c r="F44" s="76">
        <f t="shared" si="20"/>
        <v>0</v>
      </c>
      <c r="G44" s="76">
        <f t="shared" si="20"/>
        <v>140250</v>
      </c>
      <c r="H44" s="76">
        <f t="shared" si="20"/>
        <v>-8030</v>
      </c>
      <c r="I44" s="76">
        <f t="shared" si="20"/>
        <v>8280</v>
      </c>
      <c r="J44" s="76">
        <f t="shared" si="20"/>
        <v>2000</v>
      </c>
      <c r="K44" s="76">
        <f t="shared" si="20"/>
        <v>6254</v>
      </c>
      <c r="L44" s="73">
        <f t="shared" si="15"/>
        <v>28500</v>
      </c>
      <c r="M44" s="73">
        <f t="shared" si="16"/>
        <v>70125</v>
      </c>
      <c r="N44" s="76">
        <f t="shared" si="17"/>
        <v>271996</v>
      </c>
      <c r="O44" s="76" t="e">
        <f t="shared" si="21"/>
        <v>#DIV/0!</v>
      </c>
      <c r="P44" s="76" t="e">
        <f t="shared" si="21"/>
        <v>#DIV/0!</v>
      </c>
      <c r="Q44" s="76" t="e">
        <f t="shared" si="21"/>
        <v>#DIV/0!</v>
      </c>
      <c r="R44" s="76" t="e">
        <f t="shared" si="21"/>
        <v>#DIV/0!</v>
      </c>
      <c r="S44" s="76" t="e">
        <f t="shared" si="21"/>
        <v>#DIV/0!</v>
      </c>
      <c r="T44" s="76" t="e">
        <f t="shared" si="21"/>
        <v>#DIV/0!</v>
      </c>
      <c r="U44" s="76" t="e">
        <f t="shared" si="21"/>
        <v>#DIV/0!</v>
      </c>
      <c r="V44" s="76" t="e">
        <f t="shared" si="21"/>
        <v>#DIV/0!</v>
      </c>
      <c r="W44" s="76" t="e">
        <f t="shared" si="21"/>
        <v>#DIV/0!</v>
      </c>
      <c r="X44" s="96"/>
    </row>
    <row r="45" spans="1:24" outlineLevel="1">
      <c r="A45" s="72" t="s">
        <v>42</v>
      </c>
      <c r="B45" s="95"/>
      <c r="C45" s="73"/>
      <c r="D45" s="76">
        <f t="shared" si="20"/>
        <v>0</v>
      </c>
      <c r="E45" s="76">
        <f t="shared" si="20"/>
        <v>0</v>
      </c>
      <c r="F45" s="76">
        <f t="shared" si="20"/>
        <v>0</v>
      </c>
      <c r="G45" s="76">
        <f t="shared" si="20"/>
        <v>0</v>
      </c>
      <c r="H45" s="76">
        <f t="shared" si="20"/>
        <v>0</v>
      </c>
      <c r="I45" s="76">
        <f t="shared" si="20"/>
        <v>0</v>
      </c>
      <c r="J45" s="76">
        <f t="shared" si="20"/>
        <v>0</v>
      </c>
      <c r="K45" s="76">
        <f t="shared" si="20"/>
        <v>0</v>
      </c>
      <c r="L45" s="73">
        <f t="shared" si="15"/>
        <v>0</v>
      </c>
      <c r="M45" s="73">
        <f t="shared" si="16"/>
        <v>0</v>
      </c>
      <c r="N45" s="76">
        <f t="shared" si="17"/>
        <v>0</v>
      </c>
      <c r="O45" s="76" t="e">
        <f t="shared" si="21"/>
        <v>#DIV/0!</v>
      </c>
      <c r="P45" s="76" t="e">
        <f t="shared" si="21"/>
        <v>#DIV/0!</v>
      </c>
      <c r="Q45" s="76" t="e">
        <f t="shared" si="21"/>
        <v>#DIV/0!</v>
      </c>
      <c r="R45" s="76" t="e">
        <f t="shared" si="21"/>
        <v>#DIV/0!</v>
      </c>
      <c r="S45" s="76" t="e">
        <f t="shared" si="21"/>
        <v>#DIV/0!</v>
      </c>
      <c r="T45" s="76" t="e">
        <f t="shared" si="21"/>
        <v>#DIV/0!</v>
      </c>
      <c r="U45" s="76" t="e">
        <f t="shared" si="21"/>
        <v>#DIV/0!</v>
      </c>
      <c r="V45" s="76" t="e">
        <f t="shared" si="21"/>
        <v>#DIV/0!</v>
      </c>
      <c r="W45" s="76" t="e">
        <f t="shared" si="21"/>
        <v>#DIV/0!</v>
      </c>
      <c r="X45" s="96"/>
    </row>
    <row r="46" spans="1:24" outlineLevel="1">
      <c r="A46" s="72" t="s">
        <v>54</v>
      </c>
      <c r="B46" s="95"/>
      <c r="C46" s="73"/>
      <c r="D46" s="76">
        <f t="shared" si="20"/>
        <v>0</v>
      </c>
      <c r="E46" s="76">
        <f t="shared" si="20"/>
        <v>315777</v>
      </c>
      <c r="F46" s="76">
        <f t="shared" si="20"/>
        <v>2197</v>
      </c>
      <c r="G46" s="76">
        <f t="shared" si="20"/>
        <v>6620</v>
      </c>
      <c r="H46" s="76">
        <f t="shared" si="20"/>
        <v>3062</v>
      </c>
      <c r="I46" s="76">
        <f t="shared" si="20"/>
        <v>4350</v>
      </c>
      <c r="J46" s="76">
        <f t="shared" si="20"/>
        <v>1994</v>
      </c>
      <c r="K46" s="76">
        <f t="shared" si="20"/>
        <v>7073</v>
      </c>
      <c r="L46" s="73">
        <f t="shared" si="15"/>
        <v>3644.6</v>
      </c>
      <c r="M46" s="73">
        <f t="shared" si="16"/>
        <v>4408.5</v>
      </c>
      <c r="N46" s="76">
        <f t="shared" si="17"/>
        <v>1155</v>
      </c>
      <c r="O46" s="76">
        <f t="shared" si="21"/>
        <v>4752.9914422760485</v>
      </c>
      <c r="P46" s="76">
        <f t="shared" si="21"/>
        <v>1175.0066558063263</v>
      </c>
      <c r="Q46" s="76">
        <f t="shared" si="21"/>
        <v>4835.3217139955377</v>
      </c>
      <c r="R46" s="76">
        <f t="shared" si="21"/>
        <v>4902.4764842868899</v>
      </c>
      <c r="S46" s="76">
        <f t="shared" si="21"/>
        <v>4970.563925337221</v>
      </c>
      <c r="T46" s="76">
        <f t="shared" si="21"/>
        <v>5039.5969904295634</v>
      </c>
      <c r="U46" s="76">
        <f t="shared" si="21"/>
        <v>5109.5888127469225</v>
      </c>
      <c r="V46" s="76">
        <f t="shared" si="21"/>
        <v>5180.5527078710147</v>
      </c>
      <c r="W46" s="76">
        <f t="shared" si="21"/>
        <v>5252.5021763153491</v>
      </c>
      <c r="X46" s="96"/>
    </row>
    <row r="47" spans="1:24" outlineLevel="1">
      <c r="A47" s="72" t="s">
        <v>438</v>
      </c>
      <c r="B47" s="95"/>
      <c r="C47" s="73"/>
      <c r="D47" s="76">
        <f t="shared" ref="D47:K48" si="22">D24-C24</f>
        <v>0</v>
      </c>
      <c r="E47" s="76">
        <f t="shared" si="22"/>
        <v>0</v>
      </c>
      <c r="F47" s="76">
        <f t="shared" si="22"/>
        <v>0</v>
      </c>
      <c r="G47" s="76">
        <f t="shared" si="22"/>
        <v>0</v>
      </c>
      <c r="H47" s="76">
        <f t="shared" si="22"/>
        <v>0</v>
      </c>
      <c r="I47" s="76">
        <f t="shared" si="22"/>
        <v>0</v>
      </c>
      <c r="J47" s="76">
        <f t="shared" si="22"/>
        <v>0</v>
      </c>
      <c r="K47" s="76">
        <f t="shared" si="22"/>
        <v>0</v>
      </c>
      <c r="L47" s="73">
        <f t="shared" si="15"/>
        <v>0</v>
      </c>
      <c r="M47" s="73">
        <f t="shared" si="16"/>
        <v>0</v>
      </c>
      <c r="N47" s="76">
        <f t="shared" si="17"/>
        <v>0</v>
      </c>
      <c r="O47" s="76" t="e">
        <f t="shared" ref="O47:W48" si="23">O24-N24</f>
        <v>#DIV/0!</v>
      </c>
      <c r="P47" s="76" t="e">
        <f t="shared" si="23"/>
        <v>#DIV/0!</v>
      </c>
      <c r="Q47" s="76" t="e">
        <f t="shared" si="23"/>
        <v>#DIV/0!</v>
      </c>
      <c r="R47" s="76" t="e">
        <f t="shared" si="23"/>
        <v>#DIV/0!</v>
      </c>
      <c r="S47" s="76" t="e">
        <f t="shared" si="23"/>
        <v>#DIV/0!</v>
      </c>
      <c r="T47" s="76" t="e">
        <f t="shared" si="23"/>
        <v>#DIV/0!</v>
      </c>
      <c r="U47" s="76" t="e">
        <f t="shared" si="23"/>
        <v>#DIV/0!</v>
      </c>
      <c r="V47" s="76" t="e">
        <f t="shared" si="23"/>
        <v>#DIV/0!</v>
      </c>
      <c r="W47" s="76" t="e">
        <f t="shared" si="23"/>
        <v>#DIV/0!</v>
      </c>
      <c r="X47" s="96"/>
    </row>
    <row r="48" spans="1:24" outlineLevel="1">
      <c r="A48" s="72"/>
      <c r="B48" s="95"/>
      <c r="C48" s="73"/>
      <c r="D48" s="76">
        <f t="shared" si="22"/>
        <v>3199704.4222371918</v>
      </c>
      <c r="E48" s="76">
        <f t="shared" si="22"/>
        <v>594104</v>
      </c>
      <c r="F48" s="76">
        <f t="shared" si="22"/>
        <v>3269</v>
      </c>
      <c r="G48" s="76">
        <f t="shared" si="22"/>
        <v>215342.11555256136</v>
      </c>
      <c r="H48" s="76">
        <f t="shared" si="22"/>
        <v>26861.115552561823</v>
      </c>
      <c r="I48" s="76">
        <f t="shared" si="22"/>
        <v>90423.115552561823</v>
      </c>
      <c r="J48" s="76">
        <f t="shared" si="22"/>
        <v>833398.11555256182</v>
      </c>
      <c r="K48" s="76">
        <f t="shared" si="22"/>
        <v>-590628.88444743864</v>
      </c>
      <c r="L48" s="73">
        <f t="shared" si="15"/>
        <v>233858.69244204936</v>
      </c>
      <c r="M48" s="73">
        <f t="shared" si="16"/>
        <v>109305.55777628068</v>
      </c>
      <c r="N48" s="76">
        <f t="shared" si="17"/>
        <v>49188.888894876465</v>
      </c>
      <c r="O48" s="76" t="e">
        <f t="shared" si="23"/>
        <v>#DIV/0!</v>
      </c>
      <c r="P48" s="76" t="e">
        <f t="shared" si="23"/>
        <v>#DIV/0!</v>
      </c>
      <c r="Q48" s="76" t="e">
        <f t="shared" si="23"/>
        <v>#DIV/0!</v>
      </c>
      <c r="R48" s="76" t="e">
        <f t="shared" si="23"/>
        <v>#DIV/0!</v>
      </c>
      <c r="S48" s="76" t="e">
        <f t="shared" si="23"/>
        <v>#DIV/0!</v>
      </c>
      <c r="T48" s="76" t="e">
        <f t="shared" si="23"/>
        <v>#DIV/0!</v>
      </c>
      <c r="U48" s="76" t="e">
        <f t="shared" si="23"/>
        <v>#DIV/0!</v>
      </c>
      <c r="V48" s="76" t="e">
        <f t="shared" si="23"/>
        <v>#DIV/0!</v>
      </c>
      <c r="W48" s="76" t="e">
        <f t="shared" si="23"/>
        <v>#DIV/0!</v>
      </c>
      <c r="X48" s="96"/>
    </row>
    <row r="49" spans="1:24" s="159" customFormat="1">
      <c r="A49" s="74" t="s">
        <v>203</v>
      </c>
      <c r="B49" s="74"/>
      <c r="C49" s="75"/>
      <c r="D49" s="75">
        <f t="shared" ref="D49:K49" si="24">SUM(D30:D48)</f>
        <v>6399408.8444743836</v>
      </c>
      <c r="E49" s="75">
        <f t="shared" si="24"/>
        <v>1188208</v>
      </c>
      <c r="F49" s="75">
        <f t="shared" si="24"/>
        <v>6538</v>
      </c>
      <c r="G49" s="75">
        <f t="shared" si="24"/>
        <v>430684.23110512272</v>
      </c>
      <c r="H49" s="75">
        <f t="shared" si="24"/>
        <v>53722.231105123647</v>
      </c>
      <c r="I49" s="75">
        <f t="shared" si="24"/>
        <v>180846.23110512365</v>
      </c>
      <c r="J49" s="75">
        <f t="shared" si="24"/>
        <v>1666796.2311051232</v>
      </c>
      <c r="K49" s="75">
        <f t="shared" si="24"/>
        <v>-1181257.7688948768</v>
      </c>
      <c r="L49" s="101">
        <f>AVERAGE(F49:J49)</f>
        <v>467717.38488409866</v>
      </c>
      <c r="M49" s="101">
        <f>AVERAGE(F49:G49)</f>
        <v>218611.11555256136</v>
      </c>
      <c r="N49" s="109">
        <f>N25-K25</f>
        <v>49188.888894876465</v>
      </c>
      <c r="O49" s="109" t="e">
        <f t="shared" ref="O49:W49" si="25">O25-N25</f>
        <v>#DIV/0!</v>
      </c>
      <c r="P49" s="109" t="e">
        <f t="shared" si="25"/>
        <v>#DIV/0!</v>
      </c>
      <c r="Q49" s="109" t="e">
        <f t="shared" si="25"/>
        <v>#DIV/0!</v>
      </c>
      <c r="R49" s="109" t="e">
        <f t="shared" si="25"/>
        <v>#DIV/0!</v>
      </c>
      <c r="S49" s="109" t="e">
        <f t="shared" si="25"/>
        <v>#DIV/0!</v>
      </c>
      <c r="T49" s="109" t="e">
        <f t="shared" si="25"/>
        <v>#DIV/0!</v>
      </c>
      <c r="U49" s="109" t="e">
        <f t="shared" si="25"/>
        <v>#DIV/0!</v>
      </c>
      <c r="V49" s="109" t="e">
        <f t="shared" si="25"/>
        <v>#DIV/0!</v>
      </c>
      <c r="W49" s="109" t="e">
        <f t="shared" si="25"/>
        <v>#DIV/0!</v>
      </c>
      <c r="X49" s="162"/>
    </row>
    <row r="51" spans="1:24">
      <c r="A51" s="71">
        <v>3</v>
      </c>
      <c r="B51" s="71" t="s">
        <v>264</v>
      </c>
      <c r="C51" s="1910" t="s">
        <v>449</v>
      </c>
      <c r="D51" s="1910"/>
      <c r="E51" s="1910"/>
      <c r="F51" s="1910"/>
      <c r="G51" s="1910"/>
      <c r="H51" s="1910"/>
      <c r="I51" s="1910"/>
      <c r="J51" s="1910"/>
      <c r="K51" s="86"/>
      <c r="L51" s="86"/>
      <c r="M51" s="161"/>
      <c r="N51" s="161"/>
      <c r="O51" s="161"/>
      <c r="P51" s="161"/>
      <c r="Q51" s="161"/>
      <c r="R51" s="161"/>
      <c r="S51" s="161"/>
      <c r="T51" s="161"/>
      <c r="U51" s="161"/>
      <c r="V51" s="161"/>
      <c r="W51" s="161"/>
      <c r="X51" s="161"/>
    </row>
    <row r="52" spans="1:24">
      <c r="A52" s="71"/>
      <c r="B52" s="71" t="s">
        <v>357</v>
      </c>
      <c r="C52" s="72">
        <v>2015</v>
      </c>
      <c r="D52" s="72" t="s">
        <v>303</v>
      </c>
      <c r="E52" s="72" t="s">
        <v>304</v>
      </c>
      <c r="F52" s="72" t="s">
        <v>305</v>
      </c>
      <c r="G52" s="72" t="s">
        <v>306</v>
      </c>
      <c r="H52" s="72" t="s">
        <v>307</v>
      </c>
      <c r="I52" s="72" t="s">
        <v>308</v>
      </c>
      <c r="J52" s="72" t="s">
        <v>309</v>
      </c>
      <c r="K52" s="72" t="s">
        <v>340</v>
      </c>
      <c r="L52" s="72" t="s">
        <v>153</v>
      </c>
      <c r="M52" s="72" t="s">
        <v>356</v>
      </c>
      <c r="N52" s="72" t="s">
        <v>341</v>
      </c>
      <c r="O52" s="72" t="s">
        <v>342</v>
      </c>
      <c r="P52" s="72" t="s">
        <v>343</v>
      </c>
      <c r="Q52" s="72" t="s">
        <v>344</v>
      </c>
      <c r="R52" s="72" t="s">
        <v>345</v>
      </c>
      <c r="S52" s="72" t="s">
        <v>346</v>
      </c>
      <c r="T52" s="72" t="s">
        <v>347</v>
      </c>
      <c r="U52" s="72" t="s">
        <v>348</v>
      </c>
      <c r="V52" s="72" t="s">
        <v>349</v>
      </c>
      <c r="W52" s="72" t="s">
        <v>350</v>
      </c>
      <c r="X52" s="72" t="s">
        <v>353</v>
      </c>
    </row>
    <row r="53" spans="1:24">
      <c r="A53" s="71" t="s">
        <v>16</v>
      </c>
      <c r="B53" s="92"/>
      <c r="C53" s="72"/>
      <c r="D53" s="77" t="e">
        <f>D29/#REF!</f>
        <v>#REF!</v>
      </c>
      <c r="E53" s="77" t="e">
        <f t="shared" ref="E53:K54" si="26">E29/D6</f>
        <v>#DIV/0!</v>
      </c>
      <c r="F53" s="77" t="e">
        <f t="shared" si="26"/>
        <v>#DIV/0!</v>
      </c>
      <c r="G53" s="77" t="e">
        <f t="shared" si="26"/>
        <v>#DIV/0!</v>
      </c>
      <c r="H53" s="77" t="e">
        <f t="shared" si="26"/>
        <v>#DIV/0!</v>
      </c>
      <c r="I53" s="77" t="e">
        <f t="shared" si="26"/>
        <v>#DIV/0!</v>
      </c>
      <c r="J53" s="77" t="e">
        <f t="shared" si="26"/>
        <v>#DIV/0!</v>
      </c>
      <c r="K53" s="77" t="e">
        <f t="shared" si="26"/>
        <v>#DIV/0!</v>
      </c>
      <c r="L53" s="98" t="e">
        <f t="shared" ref="L53:L72" si="27">AVERAGE(F53:J53)</f>
        <v>#DIV/0!</v>
      </c>
      <c r="M53" s="98" t="e">
        <f t="shared" ref="M53:M72" si="28">AVERAGE(F53:G53)</f>
        <v>#DIV/0!</v>
      </c>
      <c r="N53" s="105" t="e">
        <f t="shared" ref="N53:N72" si="29">N29/K6</f>
        <v>#DIV/0!</v>
      </c>
      <c r="O53" s="105" t="e">
        <f t="shared" ref="O53:O72" si="30">M53</f>
        <v>#DIV/0!</v>
      </c>
      <c r="P53" s="105" t="e">
        <f t="shared" ref="P53:W68" si="31">O53</f>
        <v>#DIV/0!</v>
      </c>
      <c r="Q53" s="105" t="e">
        <f t="shared" si="31"/>
        <v>#DIV/0!</v>
      </c>
      <c r="R53" s="105" t="e">
        <f t="shared" si="31"/>
        <v>#DIV/0!</v>
      </c>
      <c r="S53" s="105" t="e">
        <f t="shared" si="31"/>
        <v>#DIV/0!</v>
      </c>
      <c r="T53" s="105" t="e">
        <f t="shared" si="31"/>
        <v>#DIV/0!</v>
      </c>
      <c r="U53" s="105" t="e">
        <f t="shared" si="31"/>
        <v>#DIV/0!</v>
      </c>
      <c r="V53" s="105" t="e">
        <f t="shared" si="31"/>
        <v>#DIV/0!</v>
      </c>
      <c r="W53" s="105" t="e">
        <f t="shared" si="31"/>
        <v>#DIV/0!</v>
      </c>
      <c r="X53" s="72"/>
    </row>
    <row r="54" spans="1:24">
      <c r="A54" s="72" t="s">
        <v>40</v>
      </c>
      <c r="B54" s="92"/>
      <c r="C54" s="76"/>
      <c r="D54" s="77" t="e">
        <f>D30/#REF!</f>
        <v>#REF!</v>
      </c>
      <c r="E54" s="77" t="e">
        <f t="shared" si="26"/>
        <v>#DIV/0!</v>
      </c>
      <c r="F54" s="77" t="e">
        <f t="shared" si="26"/>
        <v>#DIV/0!</v>
      </c>
      <c r="G54" s="77" t="e">
        <f t="shared" si="26"/>
        <v>#DIV/0!</v>
      </c>
      <c r="H54" s="77" t="e">
        <f t="shared" si="26"/>
        <v>#DIV/0!</v>
      </c>
      <c r="I54" s="77" t="e">
        <f t="shared" si="26"/>
        <v>#DIV/0!</v>
      </c>
      <c r="J54" s="77" t="e">
        <f t="shared" si="26"/>
        <v>#DIV/0!</v>
      </c>
      <c r="K54" s="77" t="e">
        <f t="shared" si="26"/>
        <v>#DIV/0!</v>
      </c>
      <c r="L54" s="98" t="e">
        <f t="shared" si="27"/>
        <v>#DIV/0!</v>
      </c>
      <c r="M54" s="98" t="e">
        <f t="shared" si="28"/>
        <v>#DIV/0!</v>
      </c>
      <c r="N54" s="105" t="e">
        <f t="shared" si="29"/>
        <v>#DIV/0!</v>
      </c>
      <c r="O54" s="105" t="e">
        <f t="shared" si="30"/>
        <v>#DIV/0!</v>
      </c>
      <c r="P54" s="105" t="e">
        <f t="shared" si="31"/>
        <v>#DIV/0!</v>
      </c>
      <c r="Q54" s="105" t="e">
        <f t="shared" si="31"/>
        <v>#DIV/0!</v>
      </c>
      <c r="R54" s="105" t="e">
        <f t="shared" si="31"/>
        <v>#DIV/0!</v>
      </c>
      <c r="S54" s="105" t="e">
        <f t="shared" si="31"/>
        <v>#DIV/0!</v>
      </c>
      <c r="T54" s="105" t="e">
        <f t="shared" si="31"/>
        <v>#DIV/0!</v>
      </c>
      <c r="U54" s="105" t="e">
        <f t="shared" si="31"/>
        <v>#DIV/0!</v>
      </c>
      <c r="V54" s="105" t="e">
        <f t="shared" si="31"/>
        <v>#DIV/0!</v>
      </c>
      <c r="W54" s="105" t="e">
        <f t="shared" si="31"/>
        <v>#DIV/0!</v>
      </c>
      <c r="X54" s="71"/>
    </row>
    <row r="55" spans="1:24">
      <c r="A55" s="72" t="s">
        <v>59</v>
      </c>
      <c r="B55" s="92"/>
      <c r="C55" s="76"/>
      <c r="D55" s="77" t="e">
        <f>D31/#REF!</f>
        <v>#REF!</v>
      </c>
      <c r="E55" s="77" t="e">
        <f t="shared" ref="E55:K70" si="32">E31/D8</f>
        <v>#DIV/0!</v>
      </c>
      <c r="F55" s="77">
        <f t="shared" si="32"/>
        <v>1.5625E-2</v>
      </c>
      <c r="G55" s="77">
        <f t="shared" si="32"/>
        <v>0.18002566618857099</v>
      </c>
      <c r="H55" s="77">
        <f t="shared" si="32"/>
        <v>-5.1190521884875703E-2</v>
      </c>
      <c r="I55" s="77">
        <f t="shared" si="32"/>
        <v>5.0298012352005175E-3</v>
      </c>
      <c r="J55" s="77">
        <f t="shared" si="32"/>
        <v>1.0465443909245817E-2</v>
      </c>
      <c r="K55" s="77">
        <f t="shared" si="32"/>
        <v>1.3278272762279083E-5</v>
      </c>
      <c r="L55" s="98">
        <f t="shared" si="27"/>
        <v>3.1991077889628329E-2</v>
      </c>
      <c r="M55" s="98">
        <f t="shared" si="28"/>
        <v>9.7825333094285497E-2</v>
      </c>
      <c r="N55" s="105">
        <f t="shared" si="29"/>
        <v>9.9999999999999378E-3</v>
      </c>
      <c r="O55" s="105">
        <f t="shared" si="30"/>
        <v>9.7825333094285497E-2</v>
      </c>
      <c r="P55" s="105">
        <f t="shared" si="31"/>
        <v>9.7825333094285497E-2</v>
      </c>
      <c r="Q55" s="105">
        <f t="shared" si="31"/>
        <v>9.7825333094285497E-2</v>
      </c>
      <c r="R55" s="105">
        <f t="shared" si="31"/>
        <v>9.7825333094285497E-2</v>
      </c>
      <c r="S55" s="105">
        <f t="shared" si="31"/>
        <v>9.7825333094285497E-2</v>
      </c>
      <c r="T55" s="105">
        <f t="shared" si="31"/>
        <v>9.7825333094285497E-2</v>
      </c>
      <c r="U55" s="105">
        <f t="shared" si="31"/>
        <v>9.7825333094285497E-2</v>
      </c>
      <c r="V55" s="105">
        <f t="shared" si="31"/>
        <v>9.7825333094285497E-2</v>
      </c>
      <c r="W55" s="105">
        <f t="shared" si="31"/>
        <v>9.7825333094285497E-2</v>
      </c>
      <c r="X55" s="71"/>
    </row>
    <row r="56" spans="1:24">
      <c r="A56" s="72" t="s">
        <v>43</v>
      </c>
      <c r="B56" s="92"/>
      <c r="C56" s="76"/>
      <c r="D56" s="77" t="e">
        <f>D32/#REF!</f>
        <v>#REF!</v>
      </c>
      <c r="E56" s="77">
        <f t="shared" si="32"/>
        <v>0</v>
      </c>
      <c r="F56" s="77">
        <f t="shared" si="32"/>
        <v>0</v>
      </c>
      <c r="G56" s="77">
        <f t="shared" si="32"/>
        <v>1.8241408533526928E-2</v>
      </c>
      <c r="H56" s="77">
        <f t="shared" si="32"/>
        <v>1.7914620620073173E-2</v>
      </c>
      <c r="I56" s="77">
        <f t="shared" si="32"/>
        <v>1.7599335206680004E-2</v>
      </c>
      <c r="J56" s="77">
        <f t="shared" si="32"/>
        <v>1.7294955487667789E-2</v>
      </c>
      <c r="K56" s="77">
        <f t="shared" si="32"/>
        <v>1.7000925242352274E-2</v>
      </c>
      <c r="L56" s="98">
        <f t="shared" si="27"/>
        <v>1.4210063969589576E-2</v>
      </c>
      <c r="M56" s="98">
        <f t="shared" si="28"/>
        <v>9.1207042667634641E-3</v>
      </c>
      <c r="N56" s="105">
        <f t="shared" si="29"/>
        <v>-3.3433450885604662E-2</v>
      </c>
      <c r="O56" s="105">
        <f t="shared" si="30"/>
        <v>9.1207042667634641E-3</v>
      </c>
      <c r="P56" s="105">
        <f t="shared" si="31"/>
        <v>9.1207042667634641E-3</v>
      </c>
      <c r="Q56" s="105">
        <f t="shared" si="31"/>
        <v>9.1207042667634641E-3</v>
      </c>
      <c r="R56" s="105">
        <f t="shared" si="31"/>
        <v>9.1207042667634641E-3</v>
      </c>
      <c r="S56" s="105">
        <f t="shared" si="31"/>
        <v>9.1207042667634641E-3</v>
      </c>
      <c r="T56" s="105">
        <f t="shared" si="31"/>
        <v>9.1207042667634641E-3</v>
      </c>
      <c r="U56" s="105">
        <f t="shared" si="31"/>
        <v>9.1207042667634641E-3</v>
      </c>
      <c r="V56" s="105">
        <f t="shared" si="31"/>
        <v>9.1207042667634641E-3</v>
      </c>
      <c r="W56" s="105">
        <f t="shared" si="31"/>
        <v>9.1207042667634641E-3</v>
      </c>
      <c r="X56" s="71"/>
    </row>
    <row r="57" spans="1:24">
      <c r="A57" s="72" t="s">
        <v>44</v>
      </c>
      <c r="B57" s="92"/>
      <c r="C57" s="76"/>
      <c r="D57" s="77" t="e">
        <f>D33/#REF!</f>
        <v>#REF!</v>
      </c>
      <c r="E57" s="77" t="e">
        <f t="shared" si="32"/>
        <v>#DIV/0!</v>
      </c>
      <c r="F57" s="77" t="e">
        <f t="shared" si="32"/>
        <v>#DIV/0!</v>
      </c>
      <c r="G57" s="77" t="e">
        <f t="shared" si="32"/>
        <v>#DIV/0!</v>
      </c>
      <c r="H57" s="77" t="e">
        <f t="shared" si="32"/>
        <v>#DIV/0!</v>
      </c>
      <c r="I57" s="77" t="e">
        <f t="shared" si="32"/>
        <v>#DIV/0!</v>
      </c>
      <c r="J57" s="77" t="e">
        <f t="shared" si="32"/>
        <v>#DIV/0!</v>
      </c>
      <c r="K57" s="77" t="e">
        <f t="shared" si="32"/>
        <v>#DIV/0!</v>
      </c>
      <c r="L57" s="98" t="e">
        <f t="shared" si="27"/>
        <v>#DIV/0!</v>
      </c>
      <c r="M57" s="98" t="e">
        <f t="shared" si="28"/>
        <v>#DIV/0!</v>
      </c>
      <c r="N57" s="105" t="e">
        <f t="shared" si="29"/>
        <v>#DIV/0!</v>
      </c>
      <c r="O57" s="105" t="e">
        <f t="shared" si="30"/>
        <v>#DIV/0!</v>
      </c>
      <c r="P57" s="105" t="e">
        <f t="shared" si="31"/>
        <v>#DIV/0!</v>
      </c>
      <c r="Q57" s="105" t="e">
        <f t="shared" si="31"/>
        <v>#DIV/0!</v>
      </c>
      <c r="R57" s="105" t="e">
        <f t="shared" si="31"/>
        <v>#DIV/0!</v>
      </c>
      <c r="S57" s="105" t="e">
        <f t="shared" si="31"/>
        <v>#DIV/0!</v>
      </c>
      <c r="T57" s="105" t="e">
        <f t="shared" si="31"/>
        <v>#DIV/0!</v>
      </c>
      <c r="U57" s="105" t="e">
        <f t="shared" si="31"/>
        <v>#DIV/0!</v>
      </c>
      <c r="V57" s="105" t="e">
        <f t="shared" si="31"/>
        <v>#DIV/0!</v>
      </c>
      <c r="W57" s="105" t="e">
        <f t="shared" si="31"/>
        <v>#DIV/0!</v>
      </c>
      <c r="X57" s="71"/>
    </row>
    <row r="58" spans="1:24">
      <c r="A58" s="72" t="s">
        <v>57</v>
      </c>
      <c r="B58" s="92"/>
      <c r="C58" s="76"/>
      <c r="D58" s="77" t="e">
        <f>D34/#REF!</f>
        <v>#REF!</v>
      </c>
      <c r="E58" s="77" t="e">
        <f t="shared" si="32"/>
        <v>#DIV/0!</v>
      </c>
      <c r="F58" s="77" t="e">
        <f t="shared" si="32"/>
        <v>#DIV/0!</v>
      </c>
      <c r="G58" s="77" t="e">
        <f t="shared" si="32"/>
        <v>#DIV/0!</v>
      </c>
      <c r="H58" s="77" t="e">
        <f t="shared" si="32"/>
        <v>#DIV/0!</v>
      </c>
      <c r="I58" s="77" t="e">
        <f t="shared" si="32"/>
        <v>#DIV/0!</v>
      </c>
      <c r="J58" s="77" t="e">
        <f t="shared" si="32"/>
        <v>#DIV/0!</v>
      </c>
      <c r="K58" s="77" t="e">
        <f t="shared" si="32"/>
        <v>#DIV/0!</v>
      </c>
      <c r="L58" s="98" t="e">
        <f t="shared" si="27"/>
        <v>#DIV/0!</v>
      </c>
      <c r="M58" s="98" t="e">
        <f t="shared" si="28"/>
        <v>#DIV/0!</v>
      </c>
      <c r="N58" s="105" t="e">
        <f t="shared" si="29"/>
        <v>#DIV/0!</v>
      </c>
      <c r="O58" s="105" t="e">
        <f t="shared" si="30"/>
        <v>#DIV/0!</v>
      </c>
      <c r="P58" s="105" t="e">
        <f t="shared" si="31"/>
        <v>#DIV/0!</v>
      </c>
      <c r="Q58" s="105" t="e">
        <f t="shared" si="31"/>
        <v>#DIV/0!</v>
      </c>
      <c r="R58" s="105" t="e">
        <f t="shared" si="31"/>
        <v>#DIV/0!</v>
      </c>
      <c r="S58" s="105" t="e">
        <f t="shared" si="31"/>
        <v>#DIV/0!</v>
      </c>
      <c r="T58" s="105" t="e">
        <f t="shared" si="31"/>
        <v>#DIV/0!</v>
      </c>
      <c r="U58" s="105" t="e">
        <f t="shared" si="31"/>
        <v>#DIV/0!</v>
      </c>
      <c r="V58" s="105" t="e">
        <f t="shared" si="31"/>
        <v>#DIV/0!</v>
      </c>
      <c r="W58" s="105" t="e">
        <f t="shared" si="31"/>
        <v>#DIV/0!</v>
      </c>
      <c r="X58" s="71"/>
    </row>
    <row r="59" spans="1:24">
      <c r="A59" s="72" t="s">
        <v>55</v>
      </c>
      <c r="B59" s="92"/>
      <c r="C59" s="76"/>
      <c r="D59" s="77" t="e">
        <f>D35/#REF!</f>
        <v>#REF!</v>
      </c>
      <c r="E59" s="77" t="e">
        <f t="shared" si="32"/>
        <v>#DIV/0!</v>
      </c>
      <c r="F59" s="77" t="e">
        <f t="shared" si="32"/>
        <v>#DIV/0!</v>
      </c>
      <c r="G59" s="77" t="e">
        <f t="shared" si="32"/>
        <v>#DIV/0!</v>
      </c>
      <c r="H59" s="77" t="e">
        <f t="shared" si="32"/>
        <v>#DIV/0!</v>
      </c>
      <c r="I59" s="77" t="e">
        <f t="shared" si="32"/>
        <v>#DIV/0!</v>
      </c>
      <c r="J59" s="77" t="e">
        <f t="shared" si="32"/>
        <v>#DIV/0!</v>
      </c>
      <c r="K59" s="77">
        <f t="shared" si="32"/>
        <v>-2.4042900612670965E-2</v>
      </c>
      <c r="L59" s="98" t="e">
        <f t="shared" si="27"/>
        <v>#DIV/0!</v>
      </c>
      <c r="M59" s="98" t="e">
        <f t="shared" si="28"/>
        <v>#DIV/0!</v>
      </c>
      <c r="N59" s="105">
        <f t="shared" si="29"/>
        <v>-1</v>
      </c>
      <c r="O59" s="105" t="e">
        <f t="shared" si="30"/>
        <v>#DIV/0!</v>
      </c>
      <c r="P59" s="105" t="e">
        <f t="shared" si="31"/>
        <v>#DIV/0!</v>
      </c>
      <c r="Q59" s="105" t="e">
        <f t="shared" si="31"/>
        <v>#DIV/0!</v>
      </c>
      <c r="R59" s="105" t="e">
        <f t="shared" si="31"/>
        <v>#DIV/0!</v>
      </c>
      <c r="S59" s="105" t="e">
        <f t="shared" si="31"/>
        <v>#DIV/0!</v>
      </c>
      <c r="T59" s="105" t="e">
        <f t="shared" si="31"/>
        <v>#DIV/0!</v>
      </c>
      <c r="U59" s="105" t="e">
        <f t="shared" si="31"/>
        <v>#DIV/0!</v>
      </c>
      <c r="V59" s="105" t="e">
        <f t="shared" si="31"/>
        <v>#DIV/0!</v>
      </c>
      <c r="W59" s="105" t="e">
        <f t="shared" si="31"/>
        <v>#DIV/0!</v>
      </c>
      <c r="X59" s="71"/>
    </row>
    <row r="60" spans="1:24">
      <c r="A60" s="72" t="s">
        <v>45</v>
      </c>
      <c r="B60" s="92"/>
      <c r="C60" s="76"/>
      <c r="D60" s="77" t="e">
        <f>D36/#REF!</f>
        <v>#REF!</v>
      </c>
      <c r="E60" s="77" t="e">
        <f t="shared" si="32"/>
        <v>#DIV/0!</v>
      </c>
      <c r="F60" s="77" t="e">
        <f t="shared" si="32"/>
        <v>#DIV/0!</v>
      </c>
      <c r="G60" s="77" t="e">
        <f t="shared" si="32"/>
        <v>#DIV/0!</v>
      </c>
      <c r="H60" s="77" t="e">
        <f t="shared" si="32"/>
        <v>#DIV/0!</v>
      </c>
      <c r="I60" s="77" t="e">
        <f t="shared" si="32"/>
        <v>#DIV/0!</v>
      </c>
      <c r="J60" s="77" t="e">
        <f t="shared" si="32"/>
        <v>#DIV/0!</v>
      </c>
      <c r="K60" s="77">
        <f t="shared" si="32"/>
        <v>-1</v>
      </c>
      <c r="L60" s="98" t="e">
        <f t="shared" si="27"/>
        <v>#DIV/0!</v>
      </c>
      <c r="M60" s="98" t="e">
        <f t="shared" si="28"/>
        <v>#DIV/0!</v>
      </c>
      <c r="N60" s="105" t="e">
        <f t="shared" si="29"/>
        <v>#DIV/0!</v>
      </c>
      <c r="O60" s="105" t="e">
        <f t="shared" si="30"/>
        <v>#DIV/0!</v>
      </c>
      <c r="P60" s="105" t="e">
        <f t="shared" si="31"/>
        <v>#DIV/0!</v>
      </c>
      <c r="Q60" s="105" t="e">
        <f t="shared" si="31"/>
        <v>#DIV/0!</v>
      </c>
      <c r="R60" s="105" t="e">
        <f t="shared" si="31"/>
        <v>#DIV/0!</v>
      </c>
      <c r="S60" s="105" t="e">
        <f t="shared" si="31"/>
        <v>#DIV/0!</v>
      </c>
      <c r="T60" s="105" t="e">
        <f t="shared" si="31"/>
        <v>#DIV/0!</v>
      </c>
      <c r="U60" s="105" t="e">
        <f t="shared" si="31"/>
        <v>#DIV/0!</v>
      </c>
      <c r="V60" s="105" t="e">
        <f t="shared" si="31"/>
        <v>#DIV/0!</v>
      </c>
      <c r="W60" s="105" t="e">
        <f t="shared" si="31"/>
        <v>#DIV/0!</v>
      </c>
      <c r="X60" s="71"/>
    </row>
    <row r="61" spans="1:24" outlineLevel="1">
      <c r="A61" s="72" t="s">
        <v>48</v>
      </c>
      <c r="B61" s="95"/>
      <c r="C61" s="73"/>
      <c r="D61" s="77" t="e">
        <f>D37/#REF!</f>
        <v>#REF!</v>
      </c>
      <c r="E61" s="77" t="e">
        <f t="shared" si="32"/>
        <v>#DIV/0!</v>
      </c>
      <c r="F61" s="77" t="e">
        <f t="shared" si="32"/>
        <v>#DIV/0!</v>
      </c>
      <c r="G61" s="77" t="e">
        <f t="shared" si="32"/>
        <v>#DIV/0!</v>
      </c>
      <c r="H61" s="77" t="e">
        <f t="shared" si="32"/>
        <v>#DIV/0!</v>
      </c>
      <c r="I61" s="77" t="e">
        <f t="shared" si="32"/>
        <v>#DIV/0!</v>
      </c>
      <c r="J61" s="77" t="e">
        <f t="shared" si="32"/>
        <v>#DIV/0!</v>
      </c>
      <c r="K61" s="77" t="e">
        <f t="shared" si="32"/>
        <v>#DIV/0!</v>
      </c>
      <c r="L61" s="98" t="e">
        <f t="shared" si="27"/>
        <v>#DIV/0!</v>
      </c>
      <c r="M61" s="98" t="e">
        <f t="shared" si="28"/>
        <v>#DIV/0!</v>
      </c>
      <c r="N61" s="105" t="e">
        <f t="shared" si="29"/>
        <v>#DIV/0!</v>
      </c>
      <c r="O61" s="105" t="e">
        <f t="shared" si="30"/>
        <v>#DIV/0!</v>
      </c>
      <c r="P61" s="105" t="e">
        <f t="shared" si="31"/>
        <v>#DIV/0!</v>
      </c>
      <c r="Q61" s="105" t="e">
        <f t="shared" si="31"/>
        <v>#DIV/0!</v>
      </c>
      <c r="R61" s="105" t="e">
        <f t="shared" si="31"/>
        <v>#DIV/0!</v>
      </c>
      <c r="S61" s="105" t="e">
        <f t="shared" si="31"/>
        <v>#DIV/0!</v>
      </c>
      <c r="T61" s="105" t="e">
        <f t="shared" si="31"/>
        <v>#DIV/0!</v>
      </c>
      <c r="U61" s="105" t="e">
        <f t="shared" si="31"/>
        <v>#DIV/0!</v>
      </c>
      <c r="V61" s="105" t="e">
        <f t="shared" si="31"/>
        <v>#DIV/0!</v>
      </c>
      <c r="W61" s="105" t="e">
        <f t="shared" si="31"/>
        <v>#DIV/0!</v>
      </c>
      <c r="X61" s="96"/>
    </row>
    <row r="62" spans="1:24" outlineLevel="1">
      <c r="A62" s="72" t="s">
        <v>50</v>
      </c>
      <c r="B62" s="95"/>
      <c r="C62" s="73"/>
      <c r="D62" s="77" t="e">
        <f>D38/#REF!</f>
        <v>#REF!</v>
      </c>
      <c r="E62" s="77" t="e">
        <f t="shared" si="32"/>
        <v>#DIV/0!</v>
      </c>
      <c r="F62" s="77" t="e">
        <f t="shared" si="32"/>
        <v>#DIV/0!</v>
      </c>
      <c r="G62" s="77" t="e">
        <f t="shared" si="32"/>
        <v>#DIV/0!</v>
      </c>
      <c r="H62" s="77" t="e">
        <f t="shared" si="32"/>
        <v>#DIV/0!</v>
      </c>
      <c r="I62" s="77" t="e">
        <f t="shared" si="32"/>
        <v>#DIV/0!</v>
      </c>
      <c r="J62" s="77" t="e">
        <f t="shared" si="32"/>
        <v>#DIV/0!</v>
      </c>
      <c r="K62" s="77">
        <f t="shared" si="32"/>
        <v>-5.1793611793611791E-3</v>
      </c>
      <c r="L62" s="98" t="e">
        <f t="shared" si="27"/>
        <v>#DIV/0!</v>
      </c>
      <c r="M62" s="98" t="e">
        <f t="shared" si="28"/>
        <v>#DIV/0!</v>
      </c>
      <c r="N62" s="105">
        <f t="shared" si="29"/>
        <v>-1</v>
      </c>
      <c r="O62" s="105" t="e">
        <f t="shared" si="30"/>
        <v>#DIV/0!</v>
      </c>
      <c r="P62" s="105" t="e">
        <f t="shared" si="31"/>
        <v>#DIV/0!</v>
      </c>
      <c r="Q62" s="105" t="e">
        <f t="shared" si="31"/>
        <v>#DIV/0!</v>
      </c>
      <c r="R62" s="105" t="e">
        <f t="shared" si="31"/>
        <v>#DIV/0!</v>
      </c>
      <c r="S62" s="105" t="e">
        <f t="shared" si="31"/>
        <v>#DIV/0!</v>
      </c>
      <c r="T62" s="105" t="e">
        <f t="shared" si="31"/>
        <v>#DIV/0!</v>
      </c>
      <c r="U62" s="105" t="e">
        <f t="shared" si="31"/>
        <v>#DIV/0!</v>
      </c>
      <c r="V62" s="105" t="e">
        <f t="shared" si="31"/>
        <v>#DIV/0!</v>
      </c>
      <c r="W62" s="105" t="e">
        <f t="shared" si="31"/>
        <v>#DIV/0!</v>
      </c>
      <c r="X62" s="96"/>
    </row>
    <row r="63" spans="1:24" outlineLevel="1">
      <c r="A63" s="72" t="s">
        <v>47</v>
      </c>
      <c r="B63" s="95"/>
      <c r="C63" s="73"/>
      <c r="D63" s="77" t="e">
        <f>D39/#REF!</f>
        <v>#REF!</v>
      </c>
      <c r="E63" s="77" t="e">
        <f t="shared" si="32"/>
        <v>#DIV/0!</v>
      </c>
      <c r="F63" s="77" t="e">
        <f t="shared" si="32"/>
        <v>#DIV/0!</v>
      </c>
      <c r="G63" s="77" t="e">
        <f t="shared" si="32"/>
        <v>#DIV/0!</v>
      </c>
      <c r="H63" s="77" t="e">
        <f t="shared" si="32"/>
        <v>#DIV/0!</v>
      </c>
      <c r="I63" s="77" t="e">
        <f t="shared" si="32"/>
        <v>#DIV/0!</v>
      </c>
      <c r="J63" s="77" t="e">
        <f t="shared" si="32"/>
        <v>#DIV/0!</v>
      </c>
      <c r="K63" s="77" t="e">
        <f t="shared" si="32"/>
        <v>#DIV/0!</v>
      </c>
      <c r="L63" s="98" t="e">
        <f t="shared" si="27"/>
        <v>#DIV/0!</v>
      </c>
      <c r="M63" s="98" t="e">
        <f t="shared" si="28"/>
        <v>#DIV/0!</v>
      </c>
      <c r="N63" s="105" t="e">
        <f t="shared" si="29"/>
        <v>#DIV/0!</v>
      </c>
      <c r="O63" s="105" t="e">
        <f t="shared" si="30"/>
        <v>#DIV/0!</v>
      </c>
      <c r="P63" s="105" t="e">
        <f t="shared" si="31"/>
        <v>#DIV/0!</v>
      </c>
      <c r="Q63" s="105" t="e">
        <f t="shared" si="31"/>
        <v>#DIV/0!</v>
      </c>
      <c r="R63" s="105" t="e">
        <f t="shared" si="31"/>
        <v>#DIV/0!</v>
      </c>
      <c r="S63" s="105" t="e">
        <f t="shared" si="31"/>
        <v>#DIV/0!</v>
      </c>
      <c r="T63" s="105" t="e">
        <f t="shared" si="31"/>
        <v>#DIV/0!</v>
      </c>
      <c r="U63" s="105" t="e">
        <f t="shared" si="31"/>
        <v>#DIV/0!</v>
      </c>
      <c r="V63" s="105" t="e">
        <f t="shared" si="31"/>
        <v>#DIV/0!</v>
      </c>
      <c r="W63" s="105" t="e">
        <f t="shared" si="31"/>
        <v>#DIV/0!</v>
      </c>
      <c r="X63" s="96"/>
    </row>
    <row r="64" spans="1:24" outlineLevel="1">
      <c r="A64" s="72" t="s">
        <v>52</v>
      </c>
      <c r="B64" s="95"/>
      <c r="C64" s="73"/>
      <c r="D64" s="77" t="e">
        <f>D40/#REF!</f>
        <v>#REF!</v>
      </c>
      <c r="E64" s="77" t="e">
        <f t="shared" si="32"/>
        <v>#DIV/0!</v>
      </c>
      <c r="F64" s="77">
        <f t="shared" si="32"/>
        <v>-6.9454811159911064E-3</v>
      </c>
      <c r="G64" s="77">
        <f t="shared" si="32"/>
        <v>-4.2723885025278295E-3</v>
      </c>
      <c r="H64" s="77">
        <f t="shared" si="32"/>
        <v>-5.3276441562775619E-2</v>
      </c>
      <c r="I64" s="77">
        <f t="shared" si="32"/>
        <v>7.3757008090777856E-2</v>
      </c>
      <c r="J64" s="77">
        <f t="shared" si="32"/>
        <v>-1.5116933466733366E-2</v>
      </c>
      <c r="K64" s="77">
        <f t="shared" si="32"/>
        <v>-1</v>
      </c>
      <c r="L64" s="98">
        <f t="shared" si="27"/>
        <v>-1.1708473114500142E-3</v>
      </c>
      <c r="M64" s="98">
        <f t="shared" si="28"/>
        <v>-5.6089348092594679E-3</v>
      </c>
      <c r="N64" s="105" t="e">
        <f t="shared" si="29"/>
        <v>#DIV/0!</v>
      </c>
      <c r="O64" s="105">
        <f t="shared" si="30"/>
        <v>-5.6089348092594679E-3</v>
      </c>
      <c r="P64" s="105">
        <f t="shared" si="31"/>
        <v>-5.6089348092594679E-3</v>
      </c>
      <c r="Q64" s="105">
        <f t="shared" si="31"/>
        <v>-5.6089348092594679E-3</v>
      </c>
      <c r="R64" s="105">
        <f t="shared" si="31"/>
        <v>-5.6089348092594679E-3</v>
      </c>
      <c r="S64" s="105">
        <f t="shared" si="31"/>
        <v>-5.6089348092594679E-3</v>
      </c>
      <c r="T64" s="105">
        <f t="shared" si="31"/>
        <v>-5.6089348092594679E-3</v>
      </c>
      <c r="U64" s="105">
        <f t="shared" si="31"/>
        <v>-5.6089348092594679E-3</v>
      </c>
      <c r="V64" s="105">
        <f t="shared" si="31"/>
        <v>-5.6089348092594679E-3</v>
      </c>
      <c r="W64" s="105">
        <f t="shared" si="31"/>
        <v>-5.6089348092594679E-3</v>
      </c>
      <c r="X64" s="96"/>
    </row>
    <row r="65" spans="1:24" outlineLevel="1">
      <c r="A65" s="72" t="s">
        <v>60</v>
      </c>
      <c r="B65" s="95"/>
      <c r="C65" s="73"/>
      <c r="D65" s="77" t="e">
        <f>D41/#REF!</f>
        <v>#REF!</v>
      </c>
      <c r="E65" s="77" t="e">
        <f t="shared" si="32"/>
        <v>#DIV/0!</v>
      </c>
      <c r="F65" s="77" t="e">
        <f t="shared" si="32"/>
        <v>#DIV/0!</v>
      </c>
      <c r="G65" s="77" t="e">
        <f t="shared" si="32"/>
        <v>#DIV/0!</v>
      </c>
      <c r="H65" s="77" t="e">
        <f t="shared" si="32"/>
        <v>#DIV/0!</v>
      </c>
      <c r="I65" s="77" t="e">
        <f t="shared" si="32"/>
        <v>#DIV/0!</v>
      </c>
      <c r="J65" s="77" t="e">
        <f t="shared" si="32"/>
        <v>#DIV/0!</v>
      </c>
      <c r="K65" s="77" t="e">
        <f t="shared" si="32"/>
        <v>#DIV/0!</v>
      </c>
      <c r="L65" s="98" t="e">
        <f t="shared" si="27"/>
        <v>#DIV/0!</v>
      </c>
      <c r="M65" s="98" t="e">
        <f t="shared" si="28"/>
        <v>#DIV/0!</v>
      </c>
      <c r="N65" s="105" t="e">
        <f t="shared" si="29"/>
        <v>#DIV/0!</v>
      </c>
      <c r="O65" s="105" t="e">
        <f t="shared" si="30"/>
        <v>#DIV/0!</v>
      </c>
      <c r="P65" s="105" t="e">
        <f t="shared" si="31"/>
        <v>#DIV/0!</v>
      </c>
      <c r="Q65" s="105" t="e">
        <f t="shared" si="31"/>
        <v>#DIV/0!</v>
      </c>
      <c r="R65" s="105" t="e">
        <f t="shared" si="31"/>
        <v>#DIV/0!</v>
      </c>
      <c r="S65" s="105" t="e">
        <f t="shared" si="31"/>
        <v>#DIV/0!</v>
      </c>
      <c r="T65" s="105" t="e">
        <f t="shared" si="31"/>
        <v>#DIV/0!</v>
      </c>
      <c r="U65" s="105" t="e">
        <f t="shared" si="31"/>
        <v>#DIV/0!</v>
      </c>
      <c r="V65" s="105" t="e">
        <f t="shared" si="31"/>
        <v>#DIV/0!</v>
      </c>
      <c r="W65" s="105" t="e">
        <f t="shared" si="31"/>
        <v>#DIV/0!</v>
      </c>
      <c r="X65" s="96"/>
    </row>
    <row r="66" spans="1:24" outlineLevel="1">
      <c r="A66" s="72" t="s">
        <v>58</v>
      </c>
      <c r="B66" s="95"/>
      <c r="C66" s="73"/>
      <c r="D66" s="77" t="e">
        <f>D42/#REF!</f>
        <v>#REF!</v>
      </c>
      <c r="E66" s="77" t="e">
        <f t="shared" si="32"/>
        <v>#DIV/0!</v>
      </c>
      <c r="F66" s="77">
        <f t="shared" si="32"/>
        <v>1.0916420066640259E-2</v>
      </c>
      <c r="G66" s="77">
        <f t="shared" si="32"/>
        <v>-1.4739947678371806E-2</v>
      </c>
      <c r="H66" s="77">
        <f t="shared" si="32"/>
        <v>-0.18518691807420579</v>
      </c>
      <c r="I66" s="77">
        <f t="shared" si="32"/>
        <v>0.1473585989089865</v>
      </c>
      <c r="J66" s="77">
        <f t="shared" si="32"/>
        <v>-1.7716609321238662E-2</v>
      </c>
      <c r="K66" s="77">
        <f t="shared" si="32"/>
        <v>-1</v>
      </c>
      <c r="L66" s="98">
        <f t="shared" si="27"/>
        <v>-1.1873691219637899E-2</v>
      </c>
      <c r="M66" s="98">
        <f t="shared" si="28"/>
        <v>-1.9117638058657738E-3</v>
      </c>
      <c r="N66" s="105" t="e">
        <f t="shared" si="29"/>
        <v>#DIV/0!</v>
      </c>
      <c r="O66" s="105">
        <f t="shared" si="30"/>
        <v>-1.9117638058657738E-3</v>
      </c>
      <c r="P66" s="105">
        <f t="shared" si="31"/>
        <v>-1.9117638058657738E-3</v>
      </c>
      <c r="Q66" s="105">
        <f t="shared" si="31"/>
        <v>-1.9117638058657738E-3</v>
      </c>
      <c r="R66" s="105">
        <f t="shared" si="31"/>
        <v>-1.9117638058657738E-3</v>
      </c>
      <c r="S66" s="105">
        <f t="shared" si="31"/>
        <v>-1.9117638058657738E-3</v>
      </c>
      <c r="T66" s="105">
        <f t="shared" si="31"/>
        <v>-1.9117638058657738E-3</v>
      </c>
      <c r="U66" s="105">
        <f t="shared" si="31"/>
        <v>-1.9117638058657738E-3</v>
      </c>
      <c r="V66" s="105">
        <f t="shared" si="31"/>
        <v>-1.9117638058657738E-3</v>
      </c>
      <c r="W66" s="105">
        <f t="shared" si="31"/>
        <v>-1.9117638058657738E-3</v>
      </c>
      <c r="X66" s="96"/>
    </row>
    <row r="67" spans="1:24" outlineLevel="1">
      <c r="A67" s="72" t="s">
        <v>49</v>
      </c>
      <c r="B67" s="95"/>
      <c r="C67" s="73"/>
      <c r="D67" s="77" t="e">
        <f>D43/#REF!</f>
        <v>#REF!</v>
      </c>
      <c r="E67" s="77" t="e">
        <f t="shared" si="32"/>
        <v>#DIV/0!</v>
      </c>
      <c r="F67" s="77" t="e">
        <f t="shared" si="32"/>
        <v>#DIV/0!</v>
      </c>
      <c r="G67" s="77" t="e">
        <f t="shared" si="32"/>
        <v>#DIV/0!</v>
      </c>
      <c r="H67" s="77" t="e">
        <f t="shared" si="32"/>
        <v>#DIV/0!</v>
      </c>
      <c r="I67" s="77" t="e">
        <f t="shared" si="32"/>
        <v>#DIV/0!</v>
      </c>
      <c r="J67" s="77" t="e">
        <f t="shared" si="32"/>
        <v>#DIV/0!</v>
      </c>
      <c r="K67" s="77" t="e">
        <f t="shared" si="32"/>
        <v>#DIV/0!</v>
      </c>
      <c r="L67" s="98" t="e">
        <f t="shared" si="27"/>
        <v>#DIV/0!</v>
      </c>
      <c r="M67" s="98" t="e">
        <f t="shared" si="28"/>
        <v>#DIV/0!</v>
      </c>
      <c r="N67" s="105" t="e">
        <f t="shared" si="29"/>
        <v>#DIV/0!</v>
      </c>
      <c r="O67" s="105" t="e">
        <f t="shared" si="30"/>
        <v>#DIV/0!</v>
      </c>
      <c r="P67" s="105" t="e">
        <f t="shared" si="31"/>
        <v>#DIV/0!</v>
      </c>
      <c r="Q67" s="105" t="e">
        <f t="shared" si="31"/>
        <v>#DIV/0!</v>
      </c>
      <c r="R67" s="105" t="e">
        <f t="shared" si="31"/>
        <v>#DIV/0!</v>
      </c>
      <c r="S67" s="105" t="e">
        <f t="shared" si="31"/>
        <v>#DIV/0!</v>
      </c>
      <c r="T67" s="105" t="e">
        <f t="shared" si="31"/>
        <v>#DIV/0!</v>
      </c>
      <c r="U67" s="105" t="e">
        <f t="shared" si="31"/>
        <v>#DIV/0!</v>
      </c>
      <c r="V67" s="105" t="e">
        <f t="shared" si="31"/>
        <v>#DIV/0!</v>
      </c>
      <c r="W67" s="105" t="e">
        <f t="shared" si="31"/>
        <v>#DIV/0!</v>
      </c>
      <c r="X67" s="96"/>
    </row>
    <row r="68" spans="1:24" outlineLevel="1">
      <c r="A68" s="72" t="s">
        <v>53</v>
      </c>
      <c r="B68" s="95"/>
      <c r="C68" s="73"/>
      <c r="D68" s="77" t="e">
        <f>D44/#REF!</f>
        <v>#REF!</v>
      </c>
      <c r="E68" s="77" t="e">
        <f t="shared" si="32"/>
        <v>#DIV/0!</v>
      </c>
      <c r="F68" s="77" t="e">
        <f t="shared" si="32"/>
        <v>#DIV/0!</v>
      </c>
      <c r="G68" s="77" t="e">
        <f t="shared" si="32"/>
        <v>#DIV/0!</v>
      </c>
      <c r="H68" s="77">
        <f t="shared" si="32"/>
        <v>-5.7254901960784317E-2</v>
      </c>
      <c r="I68" s="77">
        <f t="shared" si="32"/>
        <v>6.2622901225230676E-2</v>
      </c>
      <c r="J68" s="77">
        <f t="shared" si="32"/>
        <v>1.4234875444839857E-2</v>
      </c>
      <c r="K68" s="77">
        <f t="shared" si="32"/>
        <v>4.3887719298245614E-2</v>
      </c>
      <c r="L68" s="98" t="e">
        <f t="shared" si="27"/>
        <v>#DIV/0!</v>
      </c>
      <c r="M68" s="98" t="e">
        <f t="shared" si="28"/>
        <v>#DIV/0!</v>
      </c>
      <c r="N68" s="105">
        <f t="shared" si="29"/>
        <v>1.8284953681917797</v>
      </c>
      <c r="O68" s="105" t="e">
        <f t="shared" si="30"/>
        <v>#DIV/0!</v>
      </c>
      <c r="P68" s="105" t="e">
        <f t="shared" si="31"/>
        <v>#DIV/0!</v>
      </c>
      <c r="Q68" s="105" t="e">
        <f t="shared" si="31"/>
        <v>#DIV/0!</v>
      </c>
      <c r="R68" s="105" t="e">
        <f t="shared" si="31"/>
        <v>#DIV/0!</v>
      </c>
      <c r="S68" s="105" t="e">
        <f t="shared" si="31"/>
        <v>#DIV/0!</v>
      </c>
      <c r="T68" s="105" t="e">
        <f t="shared" si="31"/>
        <v>#DIV/0!</v>
      </c>
      <c r="U68" s="105" t="e">
        <f t="shared" si="31"/>
        <v>#DIV/0!</v>
      </c>
      <c r="V68" s="105" t="e">
        <f t="shared" si="31"/>
        <v>#DIV/0!</v>
      </c>
      <c r="W68" s="105" t="e">
        <f t="shared" si="31"/>
        <v>#DIV/0!</v>
      </c>
      <c r="X68" s="96"/>
    </row>
    <row r="69" spans="1:24" outlineLevel="1">
      <c r="A69" s="72" t="s">
        <v>42</v>
      </c>
      <c r="B69" s="95"/>
      <c r="C69" s="73"/>
      <c r="D69" s="77" t="e">
        <f>D45/#REF!</f>
        <v>#REF!</v>
      </c>
      <c r="E69" s="77" t="e">
        <f t="shared" si="32"/>
        <v>#DIV/0!</v>
      </c>
      <c r="F69" s="77" t="e">
        <f t="shared" si="32"/>
        <v>#DIV/0!</v>
      </c>
      <c r="G69" s="77" t="e">
        <f t="shared" si="32"/>
        <v>#DIV/0!</v>
      </c>
      <c r="H69" s="77" t="e">
        <f t="shared" si="32"/>
        <v>#DIV/0!</v>
      </c>
      <c r="I69" s="77" t="e">
        <f t="shared" si="32"/>
        <v>#DIV/0!</v>
      </c>
      <c r="J69" s="77" t="e">
        <f t="shared" si="32"/>
        <v>#DIV/0!</v>
      </c>
      <c r="K69" s="77" t="e">
        <f t="shared" si="32"/>
        <v>#DIV/0!</v>
      </c>
      <c r="L69" s="98" t="e">
        <f t="shared" si="27"/>
        <v>#DIV/0!</v>
      </c>
      <c r="M69" s="98" t="e">
        <f t="shared" si="28"/>
        <v>#DIV/0!</v>
      </c>
      <c r="N69" s="105" t="e">
        <f t="shared" si="29"/>
        <v>#DIV/0!</v>
      </c>
      <c r="O69" s="105" t="e">
        <f t="shared" si="30"/>
        <v>#DIV/0!</v>
      </c>
      <c r="P69" s="105" t="e">
        <f t="shared" ref="P69:W73" si="33">O69</f>
        <v>#DIV/0!</v>
      </c>
      <c r="Q69" s="105" t="e">
        <f t="shared" si="33"/>
        <v>#DIV/0!</v>
      </c>
      <c r="R69" s="105" t="e">
        <f t="shared" si="33"/>
        <v>#DIV/0!</v>
      </c>
      <c r="S69" s="105" t="e">
        <f t="shared" si="33"/>
        <v>#DIV/0!</v>
      </c>
      <c r="T69" s="105" t="e">
        <f t="shared" si="33"/>
        <v>#DIV/0!</v>
      </c>
      <c r="U69" s="105" t="e">
        <f t="shared" si="33"/>
        <v>#DIV/0!</v>
      </c>
      <c r="V69" s="105" t="e">
        <f t="shared" si="33"/>
        <v>#DIV/0!</v>
      </c>
      <c r="W69" s="105" t="e">
        <f t="shared" si="33"/>
        <v>#DIV/0!</v>
      </c>
      <c r="X69" s="96"/>
    </row>
    <row r="70" spans="1:24" outlineLevel="1">
      <c r="A70" s="72" t="s">
        <v>54</v>
      </c>
      <c r="B70" s="95"/>
      <c r="C70" s="73"/>
      <c r="D70" s="77" t="e">
        <f>D46/#REF!</f>
        <v>#REF!</v>
      </c>
      <c r="E70" s="77" t="e">
        <f t="shared" si="32"/>
        <v>#DIV/0!</v>
      </c>
      <c r="F70" s="77">
        <f t="shared" si="32"/>
        <v>6.9574414856053484E-3</v>
      </c>
      <c r="G70" s="77">
        <f t="shared" si="32"/>
        <v>2.0819312270814596E-2</v>
      </c>
      <c r="H70" s="77">
        <f t="shared" si="32"/>
        <v>9.4333228587096495E-3</v>
      </c>
      <c r="I70" s="77">
        <f t="shared" si="32"/>
        <v>1.3276118856361549E-2</v>
      </c>
      <c r="J70" s="77">
        <f t="shared" si="32"/>
        <v>6.0059155557429687E-3</v>
      </c>
      <c r="K70" s="77">
        <f t="shared" si="32"/>
        <v>2.1176646706586828E-2</v>
      </c>
      <c r="L70" s="98">
        <f t="shared" si="27"/>
        <v>1.1298422205446822E-2</v>
      </c>
      <c r="M70" s="98">
        <f t="shared" si="28"/>
        <v>1.3888376878209973E-2</v>
      </c>
      <c r="N70" s="105">
        <f t="shared" si="29"/>
        <v>3.3863718324229708E-3</v>
      </c>
      <c r="O70" s="105">
        <f t="shared" si="30"/>
        <v>1.3888376878209973E-2</v>
      </c>
      <c r="P70" s="105">
        <f t="shared" si="33"/>
        <v>1.3888376878209973E-2</v>
      </c>
      <c r="Q70" s="105">
        <f t="shared" si="33"/>
        <v>1.3888376878209973E-2</v>
      </c>
      <c r="R70" s="105">
        <f t="shared" si="33"/>
        <v>1.3888376878209973E-2</v>
      </c>
      <c r="S70" s="105">
        <f t="shared" si="33"/>
        <v>1.3888376878209973E-2</v>
      </c>
      <c r="T70" s="105">
        <f t="shared" si="33"/>
        <v>1.3888376878209973E-2</v>
      </c>
      <c r="U70" s="105">
        <f t="shared" si="33"/>
        <v>1.3888376878209973E-2</v>
      </c>
      <c r="V70" s="105">
        <f t="shared" si="33"/>
        <v>1.3888376878209973E-2</v>
      </c>
      <c r="W70" s="105">
        <f t="shared" si="33"/>
        <v>1.3888376878209973E-2</v>
      </c>
      <c r="X70" s="96"/>
    </row>
    <row r="71" spans="1:24" outlineLevel="1">
      <c r="A71" s="72" t="s">
        <v>438</v>
      </c>
      <c r="B71" s="95"/>
      <c r="C71" s="73"/>
      <c r="D71" s="77" t="e">
        <f>D47/#REF!</f>
        <v>#REF!</v>
      </c>
      <c r="E71" s="77" t="e">
        <f t="shared" ref="E71:K72" si="34">E47/D24</f>
        <v>#DIV/0!</v>
      </c>
      <c r="F71" s="77" t="e">
        <f t="shared" si="34"/>
        <v>#DIV/0!</v>
      </c>
      <c r="G71" s="77" t="e">
        <f t="shared" si="34"/>
        <v>#DIV/0!</v>
      </c>
      <c r="H71" s="77" t="e">
        <f t="shared" si="34"/>
        <v>#DIV/0!</v>
      </c>
      <c r="I71" s="77" t="e">
        <f t="shared" si="34"/>
        <v>#DIV/0!</v>
      </c>
      <c r="J71" s="77" t="e">
        <f t="shared" si="34"/>
        <v>#DIV/0!</v>
      </c>
      <c r="K71" s="77" t="e">
        <f t="shared" si="34"/>
        <v>#DIV/0!</v>
      </c>
      <c r="L71" s="98" t="e">
        <f t="shared" si="27"/>
        <v>#DIV/0!</v>
      </c>
      <c r="M71" s="98" t="e">
        <f t="shared" si="28"/>
        <v>#DIV/0!</v>
      </c>
      <c r="N71" s="105" t="e">
        <f t="shared" si="29"/>
        <v>#DIV/0!</v>
      </c>
      <c r="O71" s="105" t="e">
        <f t="shared" si="30"/>
        <v>#DIV/0!</v>
      </c>
      <c r="P71" s="105" t="e">
        <f t="shared" si="33"/>
        <v>#DIV/0!</v>
      </c>
      <c r="Q71" s="105" t="e">
        <f t="shared" si="33"/>
        <v>#DIV/0!</v>
      </c>
      <c r="R71" s="105" t="e">
        <f t="shared" si="33"/>
        <v>#DIV/0!</v>
      </c>
      <c r="S71" s="105" t="e">
        <f t="shared" si="33"/>
        <v>#DIV/0!</v>
      </c>
      <c r="T71" s="105" t="e">
        <f t="shared" si="33"/>
        <v>#DIV/0!</v>
      </c>
      <c r="U71" s="105" t="e">
        <f t="shared" si="33"/>
        <v>#DIV/0!</v>
      </c>
      <c r="V71" s="105" t="e">
        <f t="shared" si="33"/>
        <v>#DIV/0!</v>
      </c>
      <c r="W71" s="105" t="e">
        <f t="shared" si="33"/>
        <v>#DIV/0!</v>
      </c>
      <c r="X71" s="96"/>
    </row>
    <row r="72" spans="1:24" outlineLevel="1">
      <c r="A72" s="72"/>
      <c r="B72" s="95"/>
      <c r="C72" s="73"/>
      <c r="D72" s="77" t="e">
        <f>D48/#REF!</f>
        <v>#REF!</v>
      </c>
      <c r="E72" s="77">
        <f t="shared" si="34"/>
        <v>0.18567465040555534</v>
      </c>
      <c r="F72" s="77">
        <f t="shared" si="34"/>
        <v>8.6166712605700987E-4</v>
      </c>
      <c r="G72" s="77">
        <f t="shared" si="34"/>
        <v>5.6712595400723854E-2</v>
      </c>
      <c r="H72" s="77">
        <f t="shared" si="34"/>
        <v>6.6944932601335867E-3</v>
      </c>
      <c r="I72" s="77">
        <f t="shared" si="34"/>
        <v>2.2385945249370317E-2</v>
      </c>
      <c r="J72" s="77">
        <f t="shared" si="34"/>
        <v>0.20180578612678121</v>
      </c>
      <c r="K72" s="77">
        <f t="shared" si="34"/>
        <v>-0.11900398142102531</v>
      </c>
      <c r="L72" s="98">
        <f t="shared" si="27"/>
        <v>5.76920974326132E-2</v>
      </c>
      <c r="M72" s="98">
        <f t="shared" si="28"/>
        <v>2.8787131263390432E-2</v>
      </c>
      <c r="N72" s="105">
        <f t="shared" si="29"/>
        <v>1.1249672415330286E-2</v>
      </c>
      <c r="O72" s="105">
        <f t="shared" si="30"/>
        <v>2.8787131263390432E-2</v>
      </c>
      <c r="P72" s="105">
        <f t="shared" si="33"/>
        <v>2.8787131263390432E-2</v>
      </c>
      <c r="Q72" s="105">
        <f t="shared" si="33"/>
        <v>2.8787131263390432E-2</v>
      </c>
      <c r="R72" s="105">
        <f t="shared" si="33"/>
        <v>2.8787131263390432E-2</v>
      </c>
      <c r="S72" s="105">
        <f t="shared" si="33"/>
        <v>2.8787131263390432E-2</v>
      </c>
      <c r="T72" s="105">
        <f t="shared" si="33"/>
        <v>2.8787131263390432E-2</v>
      </c>
      <c r="U72" s="105">
        <f t="shared" si="33"/>
        <v>2.8787131263390432E-2</v>
      </c>
      <c r="V72" s="105">
        <f t="shared" si="33"/>
        <v>2.8787131263390432E-2</v>
      </c>
      <c r="W72" s="105">
        <f t="shared" si="33"/>
        <v>2.8787131263390432E-2</v>
      </c>
      <c r="X72" s="96"/>
    </row>
    <row r="73" spans="1:24" s="159" customFormat="1">
      <c r="A73" s="74" t="s">
        <v>203</v>
      </c>
      <c r="B73" s="74"/>
      <c r="C73" s="75"/>
      <c r="D73" s="78" t="e">
        <f>D49/#REF!</f>
        <v>#REF!</v>
      </c>
      <c r="E73" s="78">
        <f t="shared" ref="E73:K73" si="35">E49/D25</f>
        <v>0.37134930081111067</v>
      </c>
      <c r="F73" s="78">
        <f t="shared" si="35"/>
        <v>1.7233342521140197E-3</v>
      </c>
      <c r="G73" s="78">
        <f t="shared" si="35"/>
        <v>0.11342519080144771</v>
      </c>
      <c r="H73" s="78">
        <f t="shared" si="35"/>
        <v>1.3388986520267173E-2</v>
      </c>
      <c r="I73" s="78">
        <f t="shared" si="35"/>
        <v>4.4771890498740634E-2</v>
      </c>
      <c r="J73" s="78">
        <f t="shared" si="35"/>
        <v>0.40361157225356231</v>
      </c>
      <c r="K73" s="78">
        <f t="shared" si="35"/>
        <v>-0.2380079628420505</v>
      </c>
      <c r="L73" s="98">
        <f>AVERAGE(F73:J73)</f>
        <v>0.11538419486522637</v>
      </c>
      <c r="M73" s="98">
        <f>AVERAGE(F73:G73)</f>
        <v>5.7574262526780863E-2</v>
      </c>
      <c r="N73" s="105">
        <f>N49/K25</f>
        <v>1.1249672415330286E-2</v>
      </c>
      <c r="O73" s="105">
        <f>M73</f>
        <v>5.7574262526780863E-2</v>
      </c>
      <c r="P73" s="105">
        <f t="shared" si="33"/>
        <v>5.7574262526780863E-2</v>
      </c>
      <c r="Q73" s="105">
        <f t="shared" si="33"/>
        <v>5.7574262526780863E-2</v>
      </c>
      <c r="R73" s="105">
        <f t="shared" si="33"/>
        <v>5.7574262526780863E-2</v>
      </c>
      <c r="S73" s="105">
        <f t="shared" si="33"/>
        <v>5.7574262526780863E-2</v>
      </c>
      <c r="T73" s="105">
        <f t="shared" si="33"/>
        <v>5.7574262526780863E-2</v>
      </c>
      <c r="U73" s="105">
        <f t="shared" si="33"/>
        <v>5.7574262526780863E-2</v>
      </c>
      <c r="V73" s="105">
        <f t="shared" si="33"/>
        <v>5.7574262526780863E-2</v>
      </c>
      <c r="W73" s="105">
        <f t="shared" si="33"/>
        <v>5.7574262526780863E-2</v>
      </c>
      <c r="X73" s="106"/>
    </row>
  </sheetData>
  <mergeCells count="3">
    <mergeCell ref="C4:J4"/>
    <mergeCell ref="C27:J27"/>
    <mergeCell ref="C51:J51"/>
  </mergeCells>
  <pageMargins left="0.75" right="0.75" top="1" bottom="1" header="0.5" footer="0.5"/>
  <pageSetup orientation="portrait"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74"/>
  <sheetViews>
    <sheetView showGridLines="0" workbookViewId="0">
      <pane xSplit="2" ySplit="3" topLeftCell="C4" activePane="bottomRight" state="frozen"/>
      <selection pane="topRight" activeCell="C1" sqref="C1"/>
      <selection pane="bottomLeft" activeCell="A8" sqref="A8"/>
      <selection pane="bottomRight" activeCell="D15" sqref="D15"/>
    </sheetView>
  </sheetViews>
  <sheetFormatPr defaultColWidth="8.85546875" defaultRowHeight="12.75" outlineLevelRow="1"/>
  <cols>
    <col min="1" max="1" width="13" style="158" customWidth="1"/>
    <col min="2" max="2" width="17" style="158" customWidth="1"/>
    <col min="3" max="3" width="11.85546875" style="158" customWidth="1"/>
    <col min="4" max="10" width="9.85546875" style="158" bestFit="1" customWidth="1"/>
    <col min="11" max="12" width="9.85546875" style="158" customWidth="1"/>
    <col min="13" max="16384" width="8.85546875" style="158"/>
  </cols>
  <sheetData>
    <row r="1" spans="1:24" ht="15">
      <c r="A1" s="62"/>
      <c r="B1" s="62"/>
      <c r="C1" s="62"/>
    </row>
    <row r="2" spans="1:24">
      <c r="A2" s="160"/>
      <c r="B2" s="160"/>
    </row>
    <row r="3" spans="1:24" s="60" customFormat="1" ht="15">
      <c r="C3" s="65"/>
      <c r="D3" s="65"/>
      <c r="E3" s="65"/>
      <c r="F3" s="65"/>
      <c r="G3" s="65"/>
      <c r="H3" s="65"/>
      <c r="I3" s="65"/>
      <c r="J3" s="65"/>
      <c r="K3" s="65"/>
      <c r="L3" s="65"/>
    </row>
    <row r="5" spans="1:24">
      <c r="A5" s="71">
        <v>1</v>
      </c>
      <c r="B5" s="71" t="s">
        <v>264</v>
      </c>
      <c r="C5" s="1910" t="s">
        <v>450</v>
      </c>
      <c r="D5" s="1910"/>
      <c r="E5" s="1910"/>
      <c r="F5" s="1910"/>
      <c r="G5" s="1910"/>
      <c r="H5" s="1910"/>
      <c r="I5" s="1910"/>
      <c r="J5" s="1910"/>
      <c r="K5" s="161"/>
      <c r="L5" s="86"/>
      <c r="M5" s="161"/>
      <c r="N5" s="161"/>
      <c r="O5" s="161"/>
      <c r="P5" s="161"/>
      <c r="Q5" s="161"/>
      <c r="R5" s="161"/>
      <c r="S5" s="161"/>
      <c r="T5" s="161"/>
      <c r="U5" s="161"/>
      <c r="V5" s="161"/>
      <c r="W5" s="161"/>
      <c r="X5" s="161"/>
    </row>
    <row r="6" spans="1:24">
      <c r="A6" s="71"/>
      <c r="B6" s="92" t="s">
        <v>357</v>
      </c>
      <c r="C6" s="72">
        <v>2015</v>
      </c>
      <c r="D6" s="72" t="s">
        <v>303</v>
      </c>
      <c r="E6" s="72" t="s">
        <v>304</v>
      </c>
      <c r="F6" s="72" t="s">
        <v>305</v>
      </c>
      <c r="G6" s="72" t="s">
        <v>306</v>
      </c>
      <c r="H6" s="72" t="s">
        <v>307</v>
      </c>
      <c r="I6" s="72" t="s">
        <v>308</v>
      </c>
      <c r="J6" s="72" t="s">
        <v>309</v>
      </c>
      <c r="K6" s="72" t="s">
        <v>340</v>
      </c>
      <c r="L6" s="72" t="s">
        <v>355</v>
      </c>
      <c r="M6" s="72" t="s">
        <v>356</v>
      </c>
      <c r="N6" s="72" t="s">
        <v>341</v>
      </c>
      <c r="O6" s="72" t="s">
        <v>342</v>
      </c>
      <c r="P6" s="72" t="s">
        <v>343</v>
      </c>
      <c r="Q6" s="72" t="s">
        <v>344</v>
      </c>
      <c r="R6" s="72" t="s">
        <v>345</v>
      </c>
      <c r="S6" s="72" t="s">
        <v>346</v>
      </c>
      <c r="T6" s="72" t="s">
        <v>347</v>
      </c>
      <c r="U6" s="72" t="s">
        <v>348</v>
      </c>
      <c r="V6" s="72" t="s">
        <v>349</v>
      </c>
      <c r="W6" s="72" t="s">
        <v>350</v>
      </c>
      <c r="X6" s="72" t="s">
        <v>353</v>
      </c>
    </row>
    <row r="7" spans="1:24">
      <c r="A7" s="71" t="s">
        <v>16</v>
      </c>
      <c r="B7" s="92"/>
      <c r="C7" s="165"/>
      <c r="D7" s="72"/>
      <c r="E7" s="72"/>
      <c r="F7" s="72"/>
      <c r="G7" s="72"/>
      <c r="H7" s="72"/>
      <c r="I7" s="72"/>
      <c r="J7" s="72"/>
      <c r="K7" s="72"/>
      <c r="L7" s="72" t="e">
        <v>#DIV/0!</v>
      </c>
      <c r="M7" s="72" t="e">
        <v>#DIV/0!</v>
      </c>
      <c r="N7" s="72">
        <v>0</v>
      </c>
      <c r="O7" s="72" t="e">
        <v>#DIV/0!</v>
      </c>
      <c r="P7" s="72" t="e">
        <v>#DIV/0!</v>
      </c>
      <c r="Q7" s="72" t="e">
        <v>#DIV/0!</v>
      </c>
      <c r="R7" s="72" t="e">
        <v>#DIV/0!</v>
      </c>
      <c r="S7" s="72" t="e">
        <v>#DIV/0!</v>
      </c>
      <c r="T7" s="72" t="e">
        <v>#DIV/0!</v>
      </c>
      <c r="U7" s="72" t="e">
        <v>#DIV/0!</v>
      </c>
      <c r="V7" s="72" t="e">
        <v>#DIV/0!</v>
      </c>
      <c r="W7" s="72" t="e">
        <v>#DIV/0!</v>
      </c>
      <c r="X7" s="72"/>
    </row>
    <row r="8" spans="1:24">
      <c r="A8" s="72" t="s">
        <v>40</v>
      </c>
      <c r="B8" s="94"/>
      <c r="C8" s="91"/>
      <c r="D8" s="73"/>
      <c r="E8" s="73"/>
      <c r="F8" s="73"/>
      <c r="G8" s="73"/>
      <c r="H8" s="73"/>
      <c r="I8" s="73"/>
      <c r="J8" s="73"/>
      <c r="K8" s="73"/>
      <c r="L8" s="73" t="e">
        <f t="shared" ref="L8:L25" si="0">AVERAGE(E8:J8)</f>
        <v>#DIV/0!</v>
      </c>
      <c r="M8" s="73" t="e">
        <f t="shared" ref="M8:M25" si="1">AVERAGE(E8:G8)</f>
        <v>#DIV/0!</v>
      </c>
      <c r="N8" s="73">
        <f>G8+(4*M31)</f>
        <v>0</v>
      </c>
      <c r="O8" s="73" t="e">
        <f t="shared" ref="O8:O25" si="2">N8+(N8*M55)</f>
        <v>#DIV/0!</v>
      </c>
      <c r="P8" s="73" t="e">
        <f t="shared" ref="P8:P25" si="3">O8+(O8*N55)</f>
        <v>#DIV/0!</v>
      </c>
      <c r="Q8" s="73" t="e">
        <f t="shared" ref="Q8:Q25" si="4">P8+(P8*O55)</f>
        <v>#DIV/0!</v>
      </c>
      <c r="R8" s="73" t="e">
        <f t="shared" ref="R8:R25" si="5">Q8+(Q8*P55)</f>
        <v>#DIV/0!</v>
      </c>
      <c r="S8" s="73" t="e">
        <f t="shared" ref="S8:S25" si="6">R8+(R8*Q55)</f>
        <v>#DIV/0!</v>
      </c>
      <c r="T8" s="73" t="e">
        <f t="shared" ref="T8:T25" si="7">S8+(S8*R55)</f>
        <v>#DIV/0!</v>
      </c>
      <c r="U8" s="73" t="e">
        <f t="shared" ref="U8:U25" si="8">T8+(T8*S55)</f>
        <v>#DIV/0!</v>
      </c>
      <c r="V8" s="73" t="e">
        <f t="shared" ref="V8:V25" si="9">U8+(U8*T55)</f>
        <v>#DIV/0!</v>
      </c>
      <c r="W8" s="73" t="e">
        <f t="shared" ref="W8:W25" si="10">V8+(V8*U55)</f>
        <v>#DIV/0!</v>
      </c>
      <c r="X8" s="73"/>
    </row>
    <row r="9" spans="1:24">
      <c r="A9" s="72" t="s">
        <v>59</v>
      </c>
      <c r="B9" s="95"/>
      <c r="C9" s="91"/>
      <c r="D9" s="73"/>
      <c r="E9" s="168">
        <v>59904.555555555555</v>
      </c>
      <c r="F9" s="168">
        <v>60648.666666666664</v>
      </c>
      <c r="G9" s="168">
        <v>61313.777777777781</v>
      </c>
      <c r="H9" s="168">
        <v>57655.544444444444</v>
      </c>
      <c r="I9" s="168">
        <v>57501.8</v>
      </c>
      <c r="J9" s="168">
        <v>57755.555555555555</v>
      </c>
      <c r="K9" s="168">
        <v>57529.222222222219</v>
      </c>
      <c r="L9" s="73">
        <f t="shared" si="0"/>
        <v>59129.983333333337</v>
      </c>
      <c r="M9" s="73">
        <f t="shared" si="1"/>
        <v>60622.333333333336</v>
      </c>
      <c r="N9" s="73">
        <f>K9+K9*0.01</f>
        <v>58104.514444444438</v>
      </c>
      <c r="O9" s="73">
        <f t="shared" si="2"/>
        <v>58783.995469797293</v>
      </c>
      <c r="P9" s="73">
        <f t="shared" si="3"/>
        <v>59371.835424495264</v>
      </c>
      <c r="Q9" s="73">
        <f t="shared" si="4"/>
        <v>60066.136650433386</v>
      </c>
      <c r="R9" s="73">
        <f t="shared" si="5"/>
        <v>60768.55711656162</v>
      </c>
      <c r="S9" s="73">
        <f t="shared" si="6"/>
        <v>61479.19177022962</v>
      </c>
      <c r="T9" s="73">
        <f t="shared" si="7"/>
        <v>62198.136669112508</v>
      </c>
      <c r="U9" s="73">
        <f t="shared" si="8"/>
        <v>62925.48899419517</v>
      </c>
      <c r="V9" s="73">
        <f t="shared" si="9"/>
        <v>63661.347062908346</v>
      </c>
      <c r="W9" s="73">
        <f t="shared" si="10"/>
        <v>64405.810342418379</v>
      </c>
      <c r="X9" s="73"/>
    </row>
    <row r="10" spans="1:24">
      <c r="A10" s="72" t="s">
        <v>43</v>
      </c>
      <c r="B10" s="95"/>
      <c r="C10" s="91"/>
      <c r="D10" s="73"/>
      <c r="E10" s="156">
        <v>4770568642</v>
      </c>
      <c r="F10" s="156">
        <v>4824816368</v>
      </c>
      <c r="G10" s="156">
        <v>4817948129</v>
      </c>
      <c r="H10" s="156">
        <v>4666713387</v>
      </c>
      <c r="I10" s="156">
        <v>4644028243</v>
      </c>
      <c r="J10" s="156">
        <v>4953374468</v>
      </c>
      <c r="K10" s="73"/>
      <c r="L10" s="73">
        <f t="shared" si="0"/>
        <v>4779574872.833333</v>
      </c>
      <c r="M10" s="73">
        <f t="shared" si="1"/>
        <v>4804444379.666667</v>
      </c>
      <c r="N10" s="73">
        <f t="shared" ref="N10:N25" si="11">G10+(4*M33)</f>
        <v>4912707103</v>
      </c>
      <c r="O10" s="73">
        <f t="shared" si="2"/>
        <v>4937142441.147563</v>
      </c>
      <c r="P10" s="73" t="e">
        <f t="shared" si="3"/>
        <v>#DIV/0!</v>
      </c>
      <c r="Q10" s="73" t="e">
        <f t="shared" si="4"/>
        <v>#DIV/0!</v>
      </c>
      <c r="R10" s="73" t="e">
        <f t="shared" si="5"/>
        <v>#DIV/0!</v>
      </c>
      <c r="S10" s="73" t="e">
        <f t="shared" si="6"/>
        <v>#DIV/0!</v>
      </c>
      <c r="T10" s="73" t="e">
        <f t="shared" si="7"/>
        <v>#DIV/0!</v>
      </c>
      <c r="U10" s="73" t="e">
        <f t="shared" si="8"/>
        <v>#DIV/0!</v>
      </c>
      <c r="V10" s="73" t="e">
        <f t="shared" si="9"/>
        <v>#DIV/0!</v>
      </c>
      <c r="W10" s="73" t="e">
        <f t="shared" si="10"/>
        <v>#DIV/0!</v>
      </c>
      <c r="X10" s="73"/>
    </row>
    <row r="11" spans="1:24">
      <c r="A11" s="72" t="s">
        <v>44</v>
      </c>
      <c r="B11" s="95"/>
      <c r="C11" s="91"/>
      <c r="D11" s="73"/>
      <c r="E11" s="73"/>
      <c r="F11" s="73"/>
      <c r="G11" s="73"/>
      <c r="H11" s="73"/>
      <c r="I11" s="73"/>
      <c r="J11" s="73"/>
      <c r="K11" s="73"/>
      <c r="L11" s="73" t="e">
        <f t="shared" si="0"/>
        <v>#DIV/0!</v>
      </c>
      <c r="M11" s="73" t="e">
        <f t="shared" si="1"/>
        <v>#DIV/0!</v>
      </c>
      <c r="N11" s="73">
        <f t="shared" si="11"/>
        <v>0</v>
      </c>
      <c r="O11" s="73" t="e">
        <f t="shared" si="2"/>
        <v>#DIV/0!</v>
      </c>
      <c r="P11" s="73" t="e">
        <f t="shared" si="3"/>
        <v>#DIV/0!</v>
      </c>
      <c r="Q11" s="73" t="e">
        <f t="shared" si="4"/>
        <v>#DIV/0!</v>
      </c>
      <c r="R11" s="73" t="e">
        <f t="shared" si="5"/>
        <v>#DIV/0!</v>
      </c>
      <c r="S11" s="73" t="e">
        <f t="shared" si="6"/>
        <v>#DIV/0!</v>
      </c>
      <c r="T11" s="73" t="e">
        <f t="shared" si="7"/>
        <v>#DIV/0!</v>
      </c>
      <c r="U11" s="73" t="e">
        <f t="shared" si="8"/>
        <v>#DIV/0!</v>
      </c>
      <c r="V11" s="73" t="e">
        <f t="shared" si="9"/>
        <v>#DIV/0!</v>
      </c>
      <c r="W11" s="73" t="e">
        <f t="shared" si="10"/>
        <v>#DIV/0!</v>
      </c>
      <c r="X11" s="73"/>
    </row>
    <row r="12" spans="1:24">
      <c r="A12" s="72" t="s">
        <v>57</v>
      </c>
      <c r="B12" s="95"/>
      <c r="C12" s="91"/>
      <c r="D12" s="73"/>
      <c r="E12" s="73"/>
      <c r="F12" s="73"/>
      <c r="G12" s="73"/>
      <c r="H12" s="73"/>
      <c r="I12" s="73"/>
      <c r="J12" s="73"/>
      <c r="K12" s="73"/>
      <c r="L12" s="73" t="e">
        <f t="shared" si="0"/>
        <v>#DIV/0!</v>
      </c>
      <c r="M12" s="73" t="e">
        <f t="shared" si="1"/>
        <v>#DIV/0!</v>
      </c>
      <c r="N12" s="73">
        <f t="shared" si="11"/>
        <v>0</v>
      </c>
      <c r="O12" s="73" t="e">
        <f t="shared" si="2"/>
        <v>#DIV/0!</v>
      </c>
      <c r="P12" s="73" t="e">
        <f t="shared" si="3"/>
        <v>#DIV/0!</v>
      </c>
      <c r="Q12" s="73" t="e">
        <f t="shared" si="4"/>
        <v>#DIV/0!</v>
      </c>
      <c r="R12" s="73" t="e">
        <f t="shared" si="5"/>
        <v>#DIV/0!</v>
      </c>
      <c r="S12" s="73" t="e">
        <f t="shared" si="6"/>
        <v>#DIV/0!</v>
      </c>
      <c r="T12" s="73" t="e">
        <f t="shared" si="7"/>
        <v>#DIV/0!</v>
      </c>
      <c r="U12" s="73" t="e">
        <f t="shared" si="8"/>
        <v>#DIV/0!</v>
      </c>
      <c r="V12" s="73" t="e">
        <f t="shared" si="9"/>
        <v>#DIV/0!</v>
      </c>
      <c r="W12" s="73" t="e">
        <f t="shared" si="10"/>
        <v>#DIV/0!</v>
      </c>
      <c r="X12" s="73"/>
    </row>
    <row r="13" spans="1:24">
      <c r="A13" s="72" t="s">
        <v>55</v>
      </c>
      <c r="B13" s="95"/>
      <c r="C13" s="91"/>
      <c r="D13" s="73"/>
      <c r="E13" s="73"/>
      <c r="F13" s="73"/>
      <c r="G13" s="73"/>
      <c r="H13" s="73"/>
      <c r="I13" s="73"/>
      <c r="J13" s="168">
        <v>2418589</v>
      </c>
      <c r="K13" s="168">
        <v>2460353</v>
      </c>
      <c r="L13" s="73">
        <f t="shared" si="0"/>
        <v>2418589</v>
      </c>
      <c r="M13" s="73" t="e">
        <f t="shared" si="1"/>
        <v>#DIV/0!</v>
      </c>
      <c r="N13" s="73">
        <f t="shared" si="11"/>
        <v>0</v>
      </c>
      <c r="O13" s="73" t="e">
        <f t="shared" si="2"/>
        <v>#DIV/0!</v>
      </c>
      <c r="P13" s="73" t="e">
        <f t="shared" si="3"/>
        <v>#DIV/0!</v>
      </c>
      <c r="Q13" s="73" t="e">
        <f t="shared" si="4"/>
        <v>#DIV/0!</v>
      </c>
      <c r="R13" s="73" t="e">
        <f t="shared" si="5"/>
        <v>#DIV/0!</v>
      </c>
      <c r="S13" s="73" t="e">
        <f t="shared" si="6"/>
        <v>#DIV/0!</v>
      </c>
      <c r="T13" s="73" t="e">
        <f t="shared" si="7"/>
        <v>#DIV/0!</v>
      </c>
      <c r="U13" s="73" t="e">
        <f t="shared" si="8"/>
        <v>#DIV/0!</v>
      </c>
      <c r="V13" s="73" t="e">
        <f t="shared" si="9"/>
        <v>#DIV/0!</v>
      </c>
      <c r="W13" s="73" t="e">
        <f t="shared" si="10"/>
        <v>#DIV/0!</v>
      </c>
      <c r="X13" s="73"/>
    </row>
    <row r="14" spans="1:24">
      <c r="A14" s="72" t="s">
        <v>45</v>
      </c>
      <c r="B14" s="95"/>
      <c r="C14" s="91"/>
      <c r="D14" s="73"/>
      <c r="E14" s="73"/>
      <c r="F14" s="73"/>
      <c r="G14" s="73"/>
      <c r="H14" s="73"/>
      <c r="I14" s="73"/>
      <c r="J14" s="168">
        <v>3944928</v>
      </c>
      <c r="K14" s="73"/>
      <c r="L14" s="73">
        <f t="shared" si="0"/>
        <v>3944928</v>
      </c>
      <c r="M14" s="73" t="e">
        <f t="shared" si="1"/>
        <v>#DIV/0!</v>
      </c>
      <c r="N14" s="73">
        <f t="shared" si="11"/>
        <v>0</v>
      </c>
      <c r="O14" s="73" t="e">
        <f t="shared" si="2"/>
        <v>#DIV/0!</v>
      </c>
      <c r="P14" s="73" t="e">
        <f t="shared" si="3"/>
        <v>#DIV/0!</v>
      </c>
      <c r="Q14" s="73" t="e">
        <f t="shared" si="4"/>
        <v>#DIV/0!</v>
      </c>
      <c r="R14" s="73" t="e">
        <f t="shared" si="5"/>
        <v>#DIV/0!</v>
      </c>
      <c r="S14" s="73" t="e">
        <f t="shared" si="6"/>
        <v>#DIV/0!</v>
      </c>
      <c r="T14" s="73" t="e">
        <f t="shared" si="7"/>
        <v>#DIV/0!</v>
      </c>
      <c r="U14" s="73" t="e">
        <f t="shared" si="8"/>
        <v>#DIV/0!</v>
      </c>
      <c r="V14" s="73" t="e">
        <f t="shared" si="9"/>
        <v>#DIV/0!</v>
      </c>
      <c r="W14" s="73" t="e">
        <f t="shared" si="10"/>
        <v>#DIV/0!</v>
      </c>
      <c r="X14" s="73"/>
    </row>
    <row r="15" spans="1:24" outlineLevel="1">
      <c r="A15" s="72" t="s">
        <v>48</v>
      </c>
      <c r="B15" s="95"/>
      <c r="C15" s="73"/>
      <c r="D15" s="73"/>
      <c r="E15" s="73"/>
      <c r="F15" s="73"/>
      <c r="G15" s="73"/>
      <c r="H15" s="73"/>
      <c r="I15" s="73"/>
      <c r="J15" s="73"/>
      <c r="K15" s="73"/>
      <c r="L15" s="73" t="e">
        <f t="shared" si="0"/>
        <v>#DIV/0!</v>
      </c>
      <c r="M15" s="73" t="e">
        <f t="shared" si="1"/>
        <v>#DIV/0!</v>
      </c>
      <c r="N15" s="73">
        <f t="shared" si="11"/>
        <v>0</v>
      </c>
      <c r="O15" s="73" t="e">
        <f t="shared" si="2"/>
        <v>#DIV/0!</v>
      </c>
      <c r="P15" s="73" t="e">
        <f t="shared" si="3"/>
        <v>#DIV/0!</v>
      </c>
      <c r="Q15" s="73" t="e">
        <f t="shared" si="4"/>
        <v>#DIV/0!</v>
      </c>
      <c r="R15" s="73" t="e">
        <f t="shared" si="5"/>
        <v>#DIV/0!</v>
      </c>
      <c r="S15" s="73" t="e">
        <f t="shared" si="6"/>
        <v>#DIV/0!</v>
      </c>
      <c r="T15" s="73" t="e">
        <f t="shared" si="7"/>
        <v>#DIV/0!</v>
      </c>
      <c r="U15" s="73" t="e">
        <f t="shared" si="8"/>
        <v>#DIV/0!</v>
      </c>
      <c r="V15" s="73" t="e">
        <f t="shared" si="9"/>
        <v>#DIV/0!</v>
      </c>
      <c r="W15" s="73" t="e">
        <f t="shared" si="10"/>
        <v>#DIV/0!</v>
      </c>
      <c r="X15" s="96"/>
    </row>
    <row r="16" spans="1:24" outlineLevel="1">
      <c r="A16" s="72" t="s">
        <v>50</v>
      </c>
      <c r="B16" s="95"/>
      <c r="C16" s="73"/>
      <c r="D16" s="73"/>
      <c r="E16" s="73"/>
      <c r="F16" s="73"/>
      <c r="G16" s="73"/>
      <c r="H16" s="73"/>
      <c r="I16" s="73"/>
      <c r="J16" s="168">
        <v>792740</v>
      </c>
      <c r="K16" s="168">
        <v>898809</v>
      </c>
      <c r="L16" s="73">
        <f t="shared" si="0"/>
        <v>792740</v>
      </c>
      <c r="M16" s="73" t="e">
        <f t="shared" si="1"/>
        <v>#DIV/0!</v>
      </c>
      <c r="N16" s="73">
        <f t="shared" si="11"/>
        <v>0</v>
      </c>
      <c r="O16" s="73" t="e">
        <f t="shared" si="2"/>
        <v>#DIV/0!</v>
      </c>
      <c r="P16" s="73" t="e">
        <f t="shared" si="3"/>
        <v>#DIV/0!</v>
      </c>
      <c r="Q16" s="73" t="e">
        <f t="shared" si="4"/>
        <v>#DIV/0!</v>
      </c>
      <c r="R16" s="73" t="e">
        <f t="shared" si="5"/>
        <v>#DIV/0!</v>
      </c>
      <c r="S16" s="73" t="e">
        <f t="shared" si="6"/>
        <v>#DIV/0!</v>
      </c>
      <c r="T16" s="73" t="e">
        <f t="shared" si="7"/>
        <v>#DIV/0!</v>
      </c>
      <c r="U16" s="73" t="e">
        <f t="shared" si="8"/>
        <v>#DIV/0!</v>
      </c>
      <c r="V16" s="73" t="e">
        <f t="shared" si="9"/>
        <v>#DIV/0!</v>
      </c>
      <c r="W16" s="73" t="e">
        <f t="shared" si="10"/>
        <v>#DIV/0!</v>
      </c>
      <c r="X16" s="96"/>
    </row>
    <row r="17" spans="1:24" outlineLevel="1">
      <c r="A17" s="72" t="s">
        <v>47</v>
      </c>
      <c r="B17" s="95"/>
      <c r="C17" s="73"/>
      <c r="D17" s="73"/>
      <c r="E17" s="73"/>
      <c r="F17" s="73"/>
      <c r="G17" s="73"/>
      <c r="H17" s="73"/>
      <c r="I17" s="73"/>
      <c r="J17" s="73"/>
      <c r="K17" s="73"/>
      <c r="L17" s="73" t="e">
        <f t="shared" si="0"/>
        <v>#DIV/0!</v>
      </c>
      <c r="M17" s="73" t="e">
        <f t="shared" si="1"/>
        <v>#DIV/0!</v>
      </c>
      <c r="N17" s="73">
        <f t="shared" si="11"/>
        <v>0</v>
      </c>
      <c r="O17" s="73" t="e">
        <f t="shared" si="2"/>
        <v>#DIV/0!</v>
      </c>
      <c r="P17" s="73" t="e">
        <f t="shared" si="3"/>
        <v>#DIV/0!</v>
      </c>
      <c r="Q17" s="73" t="e">
        <f t="shared" si="4"/>
        <v>#DIV/0!</v>
      </c>
      <c r="R17" s="73" t="e">
        <f t="shared" si="5"/>
        <v>#DIV/0!</v>
      </c>
      <c r="S17" s="73" t="e">
        <f t="shared" si="6"/>
        <v>#DIV/0!</v>
      </c>
      <c r="T17" s="73" t="e">
        <f t="shared" si="7"/>
        <v>#DIV/0!</v>
      </c>
      <c r="U17" s="73" t="e">
        <f t="shared" si="8"/>
        <v>#DIV/0!</v>
      </c>
      <c r="V17" s="73" t="e">
        <f t="shared" si="9"/>
        <v>#DIV/0!</v>
      </c>
      <c r="W17" s="73" t="e">
        <f t="shared" si="10"/>
        <v>#DIV/0!</v>
      </c>
      <c r="X17" s="96"/>
    </row>
    <row r="18" spans="1:24" outlineLevel="1">
      <c r="A18" s="72" t="s">
        <v>52</v>
      </c>
      <c r="B18" s="95"/>
      <c r="C18" s="73"/>
      <c r="D18" s="73"/>
      <c r="E18" s="168">
        <v>1464501</v>
      </c>
      <c r="F18" s="168">
        <v>1459463</v>
      </c>
      <c r="G18" s="168">
        <v>1458259</v>
      </c>
      <c r="H18" s="168">
        <v>1391146</v>
      </c>
      <c r="I18" s="168">
        <v>1474481</v>
      </c>
      <c r="J18" s="168">
        <v>1459227</v>
      </c>
      <c r="K18" s="73"/>
      <c r="L18" s="73">
        <f t="shared" si="0"/>
        <v>1451179.5</v>
      </c>
      <c r="M18" s="73">
        <f t="shared" si="1"/>
        <v>1460741</v>
      </c>
      <c r="N18" s="73">
        <f t="shared" si="11"/>
        <v>1445775</v>
      </c>
      <c r="O18" s="73">
        <f t="shared" si="2"/>
        <v>1442691.8554980252</v>
      </c>
      <c r="P18" s="73" t="e">
        <f t="shared" si="3"/>
        <v>#DIV/0!</v>
      </c>
      <c r="Q18" s="73" t="e">
        <f t="shared" si="4"/>
        <v>#DIV/0!</v>
      </c>
      <c r="R18" s="73" t="e">
        <f t="shared" si="5"/>
        <v>#DIV/0!</v>
      </c>
      <c r="S18" s="73" t="e">
        <f t="shared" si="6"/>
        <v>#DIV/0!</v>
      </c>
      <c r="T18" s="73" t="e">
        <f t="shared" si="7"/>
        <v>#DIV/0!</v>
      </c>
      <c r="U18" s="73" t="e">
        <f t="shared" si="8"/>
        <v>#DIV/0!</v>
      </c>
      <c r="V18" s="73" t="e">
        <f t="shared" si="9"/>
        <v>#DIV/0!</v>
      </c>
      <c r="W18" s="73" t="e">
        <f t="shared" si="10"/>
        <v>#DIV/0!</v>
      </c>
      <c r="X18" s="96"/>
    </row>
    <row r="19" spans="1:24" outlineLevel="1">
      <c r="A19" s="72" t="s">
        <v>60</v>
      </c>
      <c r="B19" s="95"/>
      <c r="C19" s="73"/>
      <c r="D19" s="73"/>
      <c r="E19" s="73"/>
      <c r="F19" s="73"/>
      <c r="G19" s="73"/>
      <c r="H19" s="73"/>
      <c r="I19" s="73"/>
      <c r="J19" s="73"/>
      <c r="K19" s="73"/>
      <c r="L19" s="73" t="e">
        <f t="shared" si="0"/>
        <v>#DIV/0!</v>
      </c>
      <c r="M19" s="73" t="e">
        <f t="shared" si="1"/>
        <v>#DIV/0!</v>
      </c>
      <c r="N19" s="73">
        <f t="shared" si="11"/>
        <v>0</v>
      </c>
      <c r="O19" s="73" t="e">
        <f t="shared" si="2"/>
        <v>#DIV/0!</v>
      </c>
      <c r="P19" s="73" t="e">
        <f t="shared" si="3"/>
        <v>#DIV/0!</v>
      </c>
      <c r="Q19" s="73" t="e">
        <f t="shared" si="4"/>
        <v>#DIV/0!</v>
      </c>
      <c r="R19" s="73" t="e">
        <f t="shared" si="5"/>
        <v>#DIV/0!</v>
      </c>
      <c r="S19" s="73" t="e">
        <f t="shared" si="6"/>
        <v>#DIV/0!</v>
      </c>
      <c r="T19" s="73" t="e">
        <f t="shared" si="7"/>
        <v>#DIV/0!</v>
      </c>
      <c r="U19" s="73" t="e">
        <f t="shared" si="8"/>
        <v>#DIV/0!</v>
      </c>
      <c r="V19" s="73" t="e">
        <f t="shared" si="9"/>
        <v>#DIV/0!</v>
      </c>
      <c r="W19" s="73" t="e">
        <f t="shared" si="10"/>
        <v>#DIV/0!</v>
      </c>
      <c r="X19" s="96"/>
    </row>
    <row r="20" spans="1:24" outlineLevel="1">
      <c r="A20" s="72" t="s">
        <v>58</v>
      </c>
      <c r="B20" s="95"/>
      <c r="C20" s="73"/>
      <c r="D20" s="73"/>
      <c r="E20" s="168">
        <v>694219</v>
      </c>
      <c r="F20" s="168">
        <v>698748</v>
      </c>
      <c r="G20" s="168">
        <v>692424</v>
      </c>
      <c r="H20" s="168">
        <v>609051</v>
      </c>
      <c r="I20" s="168">
        <v>619894</v>
      </c>
      <c r="J20" s="168">
        <v>636460</v>
      </c>
      <c r="K20" s="73"/>
      <c r="L20" s="73">
        <f t="shared" si="0"/>
        <v>658466</v>
      </c>
      <c r="M20" s="73">
        <f t="shared" si="1"/>
        <v>695130.33333333337</v>
      </c>
      <c r="N20" s="73">
        <f t="shared" si="11"/>
        <v>688834</v>
      </c>
      <c r="O20" s="73">
        <f t="shared" si="2"/>
        <v>687963.79765403771</v>
      </c>
      <c r="P20" s="73" t="e">
        <f t="shared" si="3"/>
        <v>#DIV/0!</v>
      </c>
      <c r="Q20" s="73" t="e">
        <f t="shared" si="4"/>
        <v>#DIV/0!</v>
      </c>
      <c r="R20" s="73" t="e">
        <f t="shared" si="5"/>
        <v>#DIV/0!</v>
      </c>
      <c r="S20" s="73" t="e">
        <f t="shared" si="6"/>
        <v>#DIV/0!</v>
      </c>
      <c r="T20" s="73" t="e">
        <f t="shared" si="7"/>
        <v>#DIV/0!</v>
      </c>
      <c r="U20" s="73" t="e">
        <f t="shared" si="8"/>
        <v>#DIV/0!</v>
      </c>
      <c r="V20" s="73" t="e">
        <f t="shared" si="9"/>
        <v>#DIV/0!</v>
      </c>
      <c r="W20" s="73" t="e">
        <f t="shared" si="10"/>
        <v>#DIV/0!</v>
      </c>
      <c r="X20" s="96"/>
    </row>
    <row r="21" spans="1:24" outlineLevel="1">
      <c r="A21" s="72" t="s">
        <v>49</v>
      </c>
      <c r="B21" s="95"/>
      <c r="C21" s="73"/>
      <c r="D21" s="73"/>
      <c r="E21" s="73"/>
      <c r="F21" s="73"/>
      <c r="G21" s="73"/>
      <c r="H21" s="73"/>
      <c r="I21" s="73"/>
      <c r="J21" s="73"/>
      <c r="K21" s="73"/>
      <c r="L21" s="73" t="e">
        <f t="shared" si="0"/>
        <v>#DIV/0!</v>
      </c>
      <c r="M21" s="73" t="e">
        <f t="shared" si="1"/>
        <v>#DIV/0!</v>
      </c>
      <c r="N21" s="73">
        <f t="shared" si="11"/>
        <v>0</v>
      </c>
      <c r="O21" s="73" t="e">
        <f t="shared" si="2"/>
        <v>#DIV/0!</v>
      </c>
      <c r="P21" s="73" t="e">
        <f t="shared" si="3"/>
        <v>#DIV/0!</v>
      </c>
      <c r="Q21" s="73" t="e">
        <f t="shared" si="4"/>
        <v>#DIV/0!</v>
      </c>
      <c r="R21" s="73" t="e">
        <f t="shared" si="5"/>
        <v>#DIV/0!</v>
      </c>
      <c r="S21" s="73" t="e">
        <f t="shared" si="6"/>
        <v>#DIV/0!</v>
      </c>
      <c r="T21" s="73" t="e">
        <f t="shared" si="7"/>
        <v>#DIV/0!</v>
      </c>
      <c r="U21" s="73" t="e">
        <f t="shared" si="8"/>
        <v>#DIV/0!</v>
      </c>
      <c r="V21" s="73" t="e">
        <f t="shared" si="9"/>
        <v>#DIV/0!</v>
      </c>
      <c r="W21" s="73" t="e">
        <f t="shared" si="10"/>
        <v>#DIV/0!</v>
      </c>
      <c r="X21" s="96"/>
    </row>
    <row r="22" spans="1:24" outlineLevel="1">
      <c r="A22" s="72" t="s">
        <v>53</v>
      </c>
      <c r="B22" s="95"/>
      <c r="C22" s="73"/>
      <c r="D22" s="73"/>
      <c r="E22" s="73"/>
      <c r="F22" s="73"/>
      <c r="G22" s="168">
        <v>1170375.31</v>
      </c>
      <c r="H22" s="168">
        <v>999426.74000000011</v>
      </c>
      <c r="I22" s="168">
        <v>1154426.8599999999</v>
      </c>
      <c r="J22" s="168">
        <v>1153767</v>
      </c>
      <c r="K22" s="168">
        <v>1204512.3700000001</v>
      </c>
      <c r="L22" s="73">
        <f t="shared" si="0"/>
        <v>1119498.9775</v>
      </c>
      <c r="M22" s="73">
        <f t="shared" si="1"/>
        <v>1170375.31</v>
      </c>
      <c r="N22" s="73">
        <f t="shared" si="11"/>
        <v>3511125.93</v>
      </c>
      <c r="O22" s="73" t="e">
        <f t="shared" si="2"/>
        <v>#DIV/0!</v>
      </c>
      <c r="P22" s="73" t="e">
        <f t="shared" si="3"/>
        <v>#DIV/0!</v>
      </c>
      <c r="Q22" s="73" t="e">
        <f t="shared" si="4"/>
        <v>#DIV/0!</v>
      </c>
      <c r="R22" s="73" t="e">
        <f t="shared" si="5"/>
        <v>#DIV/0!</v>
      </c>
      <c r="S22" s="73" t="e">
        <f t="shared" si="6"/>
        <v>#DIV/0!</v>
      </c>
      <c r="T22" s="73" t="e">
        <f t="shared" si="7"/>
        <v>#DIV/0!</v>
      </c>
      <c r="U22" s="73" t="e">
        <f t="shared" si="8"/>
        <v>#DIV/0!</v>
      </c>
      <c r="V22" s="73" t="e">
        <f t="shared" si="9"/>
        <v>#DIV/0!</v>
      </c>
      <c r="W22" s="73" t="e">
        <f t="shared" si="10"/>
        <v>#DIV/0!</v>
      </c>
      <c r="X22" s="96"/>
    </row>
    <row r="23" spans="1:24" outlineLevel="1">
      <c r="A23" s="72" t="s">
        <v>42</v>
      </c>
      <c r="B23" s="95"/>
      <c r="C23" s="73"/>
      <c r="D23" s="73"/>
      <c r="E23" s="73"/>
      <c r="F23" s="168">
        <v>1100761</v>
      </c>
      <c r="G23" s="168">
        <v>1145773</v>
      </c>
      <c r="H23" s="168">
        <v>1163815</v>
      </c>
      <c r="I23" s="168">
        <v>1159159</v>
      </c>
      <c r="J23" s="168">
        <v>1357077</v>
      </c>
      <c r="K23" s="108">
        <v>1145890.92</v>
      </c>
      <c r="L23" s="73">
        <f t="shared" si="0"/>
        <v>1185317</v>
      </c>
      <c r="M23" s="73">
        <f t="shared" si="1"/>
        <v>1123267</v>
      </c>
      <c r="N23" s="73">
        <f t="shared" si="11"/>
        <v>3437319</v>
      </c>
      <c r="O23" s="73" t="e">
        <f t="shared" si="2"/>
        <v>#DIV/0!</v>
      </c>
      <c r="P23" s="73" t="e">
        <f t="shared" si="3"/>
        <v>#DIV/0!</v>
      </c>
      <c r="Q23" s="73" t="e">
        <f t="shared" si="4"/>
        <v>#DIV/0!</v>
      </c>
      <c r="R23" s="73" t="e">
        <f t="shared" si="5"/>
        <v>#DIV/0!</v>
      </c>
      <c r="S23" s="73" t="e">
        <f t="shared" si="6"/>
        <v>#DIV/0!</v>
      </c>
      <c r="T23" s="73" t="e">
        <f t="shared" si="7"/>
        <v>#DIV/0!</v>
      </c>
      <c r="U23" s="73" t="e">
        <f t="shared" si="8"/>
        <v>#DIV/0!</v>
      </c>
      <c r="V23" s="73" t="e">
        <f t="shared" si="9"/>
        <v>#DIV/0!</v>
      </c>
      <c r="W23" s="73" t="e">
        <f t="shared" si="10"/>
        <v>#DIV/0!</v>
      </c>
      <c r="X23" s="96"/>
    </row>
    <row r="24" spans="1:24" outlineLevel="1">
      <c r="A24" s="72" t="s">
        <v>54</v>
      </c>
      <c r="B24" s="95"/>
      <c r="C24" s="73"/>
      <c r="D24" s="73"/>
      <c r="E24" s="168">
        <v>3526720</v>
      </c>
      <c r="F24" s="168">
        <v>3564000</v>
      </c>
      <c r="G24" s="168">
        <v>3616795</v>
      </c>
      <c r="H24" s="168">
        <v>3501942</v>
      </c>
      <c r="I24" s="168">
        <v>3520388</v>
      </c>
      <c r="J24" s="168">
        <v>3674301</v>
      </c>
      <c r="K24" s="168">
        <v>3772045</v>
      </c>
      <c r="L24" s="73">
        <f>AVERAGE(E24:K24)</f>
        <v>3596598.7142857141</v>
      </c>
      <c r="M24" s="73">
        <f t="shared" si="1"/>
        <v>3569171.6666666665</v>
      </c>
      <c r="N24" s="73">
        <f t="shared" si="11"/>
        <v>3796945</v>
      </c>
      <c r="O24" s="73">
        <f t="shared" si="2"/>
        <v>3845136.09268633</v>
      </c>
      <c r="P24" s="73">
        <f t="shared" si="3"/>
        <v>3870518.5811529015</v>
      </c>
      <c r="Q24" s="73">
        <f t="shared" si="4"/>
        <v>3919643.4748999802</v>
      </c>
      <c r="R24" s="73">
        <f t="shared" si="5"/>
        <v>3969391.8652496622</v>
      </c>
      <c r="S24" s="73">
        <f t="shared" si="6"/>
        <v>4019771.66566463</v>
      </c>
      <c r="T24" s="73">
        <f t="shared" si="7"/>
        <v>4070790.8900457909</v>
      </c>
      <c r="U24" s="73">
        <f t="shared" si="8"/>
        <v>4122457.6540070451</v>
      </c>
      <c r="V24" s="73">
        <f t="shared" si="9"/>
        <v>4174780.1761662345</v>
      </c>
      <c r="W24" s="73">
        <f t="shared" si="10"/>
        <v>4227766.7794524767</v>
      </c>
      <c r="X24" s="96"/>
    </row>
    <row r="25" spans="1:24" outlineLevel="1">
      <c r="A25" s="72" t="s">
        <v>438</v>
      </c>
      <c r="B25" s="95"/>
      <c r="C25" s="73"/>
      <c r="D25" s="73"/>
      <c r="E25" s="73"/>
      <c r="F25" s="73"/>
      <c r="G25" s="73"/>
      <c r="H25" s="73"/>
      <c r="I25" s="73"/>
      <c r="J25" s="73"/>
      <c r="K25" s="73"/>
      <c r="L25" s="73" t="e">
        <f t="shared" si="0"/>
        <v>#DIV/0!</v>
      </c>
      <c r="M25" s="73" t="e">
        <f t="shared" si="1"/>
        <v>#DIV/0!</v>
      </c>
      <c r="N25" s="73">
        <f t="shared" si="11"/>
        <v>0</v>
      </c>
      <c r="O25" s="73" t="e">
        <f t="shared" si="2"/>
        <v>#DIV/0!</v>
      </c>
      <c r="P25" s="73" t="e">
        <f t="shared" si="3"/>
        <v>#DIV/0!</v>
      </c>
      <c r="Q25" s="73" t="e">
        <f t="shared" si="4"/>
        <v>#DIV/0!</v>
      </c>
      <c r="R25" s="73" t="e">
        <f t="shared" si="5"/>
        <v>#DIV/0!</v>
      </c>
      <c r="S25" s="73" t="e">
        <f t="shared" si="6"/>
        <v>#DIV/0!</v>
      </c>
      <c r="T25" s="73" t="e">
        <f t="shared" si="7"/>
        <v>#DIV/0!</v>
      </c>
      <c r="U25" s="73" t="e">
        <f t="shared" si="8"/>
        <v>#DIV/0!</v>
      </c>
      <c r="V25" s="73" t="e">
        <f t="shared" si="9"/>
        <v>#DIV/0!</v>
      </c>
      <c r="W25" s="73" t="e">
        <f t="shared" si="10"/>
        <v>#DIV/0!</v>
      </c>
      <c r="X25" s="96"/>
    </row>
    <row r="26" spans="1:24" s="159" customFormat="1">
      <c r="A26" s="74" t="s">
        <v>203</v>
      </c>
      <c r="B26" s="93"/>
      <c r="C26" s="75"/>
      <c r="D26" s="75">
        <f t="shared" ref="D26:K26" si="12">SUM(D8:D25)</f>
        <v>0</v>
      </c>
      <c r="E26" s="75">
        <f t="shared" si="12"/>
        <v>4776313986.5555553</v>
      </c>
      <c r="F26" s="75">
        <f t="shared" si="12"/>
        <v>4831699988.666667</v>
      </c>
      <c r="G26" s="75">
        <f t="shared" si="12"/>
        <v>4826093069.0877781</v>
      </c>
      <c r="H26" s="75">
        <f t="shared" si="12"/>
        <v>4674436423.2844439</v>
      </c>
      <c r="I26" s="75">
        <f t="shared" si="12"/>
        <v>4652014093.6599998</v>
      </c>
      <c r="J26" s="75">
        <f t="shared" si="12"/>
        <v>4968869312.5555553</v>
      </c>
      <c r="K26" s="75">
        <f t="shared" si="12"/>
        <v>9539139.512222223</v>
      </c>
      <c r="L26" s="101">
        <f>AVERAGE(E26:J26)</f>
        <v>4788237812.3016663</v>
      </c>
      <c r="M26" s="101">
        <f>AVERAGE(E26:G26)</f>
        <v>4811369014.7699995</v>
      </c>
      <c r="N26" s="75">
        <f t="shared" ref="N26:W26" si="13">SUM(N8:N25)</f>
        <v>4925645206.4444447</v>
      </c>
      <c r="O26" s="75" t="e">
        <f t="shared" si="13"/>
        <v>#DIV/0!</v>
      </c>
      <c r="P26" s="75" t="e">
        <f t="shared" si="13"/>
        <v>#DIV/0!</v>
      </c>
      <c r="Q26" s="75" t="e">
        <f t="shared" si="13"/>
        <v>#DIV/0!</v>
      </c>
      <c r="R26" s="75" t="e">
        <f t="shared" si="13"/>
        <v>#DIV/0!</v>
      </c>
      <c r="S26" s="75" t="e">
        <f t="shared" si="13"/>
        <v>#DIV/0!</v>
      </c>
      <c r="T26" s="75" t="e">
        <f t="shared" si="13"/>
        <v>#DIV/0!</v>
      </c>
      <c r="U26" s="75" t="e">
        <f t="shared" si="13"/>
        <v>#DIV/0!</v>
      </c>
      <c r="V26" s="75" t="e">
        <f t="shared" si="13"/>
        <v>#DIV/0!</v>
      </c>
      <c r="W26" s="75" t="e">
        <f t="shared" si="13"/>
        <v>#DIV/0!</v>
      </c>
      <c r="X26" s="162"/>
    </row>
    <row r="28" spans="1:24">
      <c r="A28" s="71">
        <v>2</v>
      </c>
      <c r="B28" s="71" t="s">
        <v>264</v>
      </c>
      <c r="C28" s="1910" t="s">
        <v>445</v>
      </c>
      <c r="D28" s="1910"/>
      <c r="E28" s="1910"/>
      <c r="F28" s="1910"/>
      <c r="G28" s="1910"/>
      <c r="H28" s="1910"/>
      <c r="I28" s="1910"/>
      <c r="J28" s="1910"/>
      <c r="K28" s="86"/>
      <c r="L28" s="86"/>
      <c r="M28" s="161"/>
      <c r="N28" s="161"/>
      <c r="O28" s="161"/>
      <c r="P28" s="161"/>
      <c r="Q28" s="161"/>
      <c r="R28" s="161"/>
      <c r="S28" s="161"/>
      <c r="T28" s="161"/>
      <c r="U28" s="161"/>
      <c r="V28" s="161"/>
      <c r="W28" s="161"/>
      <c r="X28" s="161"/>
    </row>
    <row r="29" spans="1:24">
      <c r="A29" s="71"/>
      <c r="B29" s="71" t="s">
        <v>357</v>
      </c>
      <c r="C29" s="72">
        <v>2015</v>
      </c>
      <c r="D29" s="72" t="s">
        <v>303</v>
      </c>
      <c r="E29" s="72" t="s">
        <v>304</v>
      </c>
      <c r="F29" s="72" t="s">
        <v>305</v>
      </c>
      <c r="G29" s="72" t="s">
        <v>306</v>
      </c>
      <c r="H29" s="72" t="s">
        <v>307</v>
      </c>
      <c r="I29" s="72" t="s">
        <v>308</v>
      </c>
      <c r="J29" s="72" t="s">
        <v>309</v>
      </c>
      <c r="K29" s="72" t="s">
        <v>340</v>
      </c>
      <c r="L29" s="72" t="s">
        <v>355</v>
      </c>
      <c r="M29" s="72" t="s">
        <v>356</v>
      </c>
      <c r="N29" s="72" t="s">
        <v>341</v>
      </c>
      <c r="O29" s="72" t="s">
        <v>342</v>
      </c>
      <c r="P29" s="72" t="s">
        <v>343</v>
      </c>
      <c r="Q29" s="72" t="s">
        <v>344</v>
      </c>
      <c r="R29" s="72" t="s">
        <v>345</v>
      </c>
      <c r="S29" s="72" t="s">
        <v>346</v>
      </c>
      <c r="T29" s="72" t="s">
        <v>347</v>
      </c>
      <c r="U29" s="72" t="s">
        <v>348</v>
      </c>
      <c r="V29" s="72" t="s">
        <v>349</v>
      </c>
      <c r="W29" s="72" t="s">
        <v>350</v>
      </c>
      <c r="X29" s="72" t="s">
        <v>353</v>
      </c>
    </row>
    <row r="30" spans="1:24">
      <c r="A30" s="71" t="s">
        <v>16</v>
      </c>
      <c r="B30" s="71"/>
      <c r="C30" s="72"/>
      <c r="D30" s="76">
        <f t="shared" ref="D30:K31" si="14">D7-C7</f>
        <v>0</v>
      </c>
      <c r="E30" s="76">
        <f t="shared" si="14"/>
        <v>0</v>
      </c>
      <c r="F30" s="76">
        <f t="shared" si="14"/>
        <v>0</v>
      </c>
      <c r="G30" s="76">
        <f t="shared" si="14"/>
        <v>0</v>
      </c>
      <c r="H30" s="76">
        <f t="shared" si="14"/>
        <v>0</v>
      </c>
      <c r="I30" s="76">
        <f t="shared" si="14"/>
        <v>0</v>
      </c>
      <c r="J30" s="76">
        <f t="shared" si="14"/>
        <v>0</v>
      </c>
      <c r="K30" s="76">
        <f t="shared" si="14"/>
        <v>0</v>
      </c>
      <c r="L30" s="73">
        <f t="shared" ref="L30:L49" si="15">AVERAGE(F30:J30)</f>
        <v>0</v>
      </c>
      <c r="M30" s="73">
        <f t="shared" ref="M30:M49" si="16">AVERAGE(F30:G30)</f>
        <v>0</v>
      </c>
      <c r="N30" s="76">
        <f t="shared" ref="N30:N49" si="17">N7-K7</f>
        <v>0</v>
      </c>
      <c r="O30" s="76" t="e">
        <f t="shared" ref="O30:W30" si="18">O7-N7</f>
        <v>#DIV/0!</v>
      </c>
      <c r="P30" s="76" t="e">
        <f t="shared" si="18"/>
        <v>#DIV/0!</v>
      </c>
      <c r="Q30" s="76" t="e">
        <f t="shared" si="18"/>
        <v>#DIV/0!</v>
      </c>
      <c r="R30" s="76" t="e">
        <f t="shared" si="18"/>
        <v>#DIV/0!</v>
      </c>
      <c r="S30" s="76" t="e">
        <f t="shared" si="18"/>
        <v>#DIV/0!</v>
      </c>
      <c r="T30" s="76" t="e">
        <f t="shared" si="18"/>
        <v>#DIV/0!</v>
      </c>
      <c r="U30" s="76" t="e">
        <f t="shared" si="18"/>
        <v>#DIV/0!</v>
      </c>
      <c r="V30" s="76" t="e">
        <f t="shared" si="18"/>
        <v>#DIV/0!</v>
      </c>
      <c r="W30" s="76" t="e">
        <f t="shared" si="18"/>
        <v>#DIV/0!</v>
      </c>
      <c r="X30" s="72"/>
    </row>
    <row r="31" spans="1:24">
      <c r="A31" s="72" t="s">
        <v>40</v>
      </c>
      <c r="B31" s="94"/>
      <c r="C31" s="76"/>
      <c r="D31" s="76">
        <f t="shared" si="14"/>
        <v>0</v>
      </c>
      <c r="E31" s="76">
        <f t="shared" si="14"/>
        <v>0</v>
      </c>
      <c r="F31" s="76">
        <f t="shared" si="14"/>
        <v>0</v>
      </c>
      <c r="G31" s="76">
        <f t="shared" si="14"/>
        <v>0</v>
      </c>
      <c r="H31" s="76">
        <f t="shared" si="14"/>
        <v>0</v>
      </c>
      <c r="I31" s="76">
        <f t="shared" si="14"/>
        <v>0</v>
      </c>
      <c r="J31" s="76">
        <f t="shared" si="14"/>
        <v>0</v>
      </c>
      <c r="K31" s="76">
        <f t="shared" si="14"/>
        <v>0</v>
      </c>
      <c r="L31" s="73">
        <f t="shared" si="15"/>
        <v>0</v>
      </c>
      <c r="M31" s="73">
        <f t="shared" si="16"/>
        <v>0</v>
      </c>
      <c r="N31" s="76">
        <f t="shared" si="17"/>
        <v>0</v>
      </c>
      <c r="O31" s="76" t="e">
        <f t="shared" ref="O31:W31" si="19">O8-N8</f>
        <v>#DIV/0!</v>
      </c>
      <c r="P31" s="76" t="e">
        <f t="shared" si="19"/>
        <v>#DIV/0!</v>
      </c>
      <c r="Q31" s="76" t="e">
        <f t="shared" si="19"/>
        <v>#DIV/0!</v>
      </c>
      <c r="R31" s="76" t="e">
        <f t="shared" si="19"/>
        <v>#DIV/0!</v>
      </c>
      <c r="S31" s="76" t="e">
        <f t="shared" si="19"/>
        <v>#DIV/0!</v>
      </c>
      <c r="T31" s="76" t="e">
        <f t="shared" si="19"/>
        <v>#DIV/0!</v>
      </c>
      <c r="U31" s="76" t="e">
        <f t="shared" si="19"/>
        <v>#DIV/0!</v>
      </c>
      <c r="V31" s="76" t="e">
        <f t="shared" si="19"/>
        <v>#DIV/0!</v>
      </c>
      <c r="W31" s="76" t="e">
        <f t="shared" si="19"/>
        <v>#DIV/0!</v>
      </c>
      <c r="X31" s="73"/>
    </row>
    <row r="32" spans="1:24">
      <c r="A32" s="72" t="s">
        <v>59</v>
      </c>
      <c r="B32" s="95"/>
      <c r="C32" s="76"/>
      <c r="D32" s="76">
        <f t="shared" ref="D32:K47" si="20">D9-C9</f>
        <v>0</v>
      </c>
      <c r="E32" s="76">
        <f t="shared" si="20"/>
        <v>59904.555555555555</v>
      </c>
      <c r="F32" s="76">
        <f t="shared" si="20"/>
        <v>744.11111111110949</v>
      </c>
      <c r="G32" s="76">
        <f t="shared" si="20"/>
        <v>665.11111111111677</v>
      </c>
      <c r="H32" s="76">
        <f t="shared" si="20"/>
        <v>-3658.2333333333372</v>
      </c>
      <c r="I32" s="76">
        <f t="shared" si="20"/>
        <v>-153.74444444444089</v>
      </c>
      <c r="J32" s="76">
        <f t="shared" si="20"/>
        <v>253.75555555555184</v>
      </c>
      <c r="K32" s="76">
        <f t="shared" si="20"/>
        <v>-226.33333333333576</v>
      </c>
      <c r="L32" s="73">
        <f t="shared" si="15"/>
        <v>-429.8</v>
      </c>
      <c r="M32" s="73">
        <f t="shared" si="16"/>
        <v>704.61111111111313</v>
      </c>
      <c r="N32" s="76">
        <f t="shared" si="17"/>
        <v>575.2922222222187</v>
      </c>
      <c r="O32" s="76">
        <f t="shared" ref="O32:W47" si="21">O9-N9</f>
        <v>679.4810253528558</v>
      </c>
      <c r="P32" s="76">
        <f t="shared" si="21"/>
        <v>587.83995469797082</v>
      </c>
      <c r="Q32" s="76">
        <f t="shared" si="21"/>
        <v>694.30122593812121</v>
      </c>
      <c r="R32" s="76">
        <f t="shared" si="21"/>
        <v>702.42046612823469</v>
      </c>
      <c r="S32" s="76">
        <f t="shared" si="21"/>
        <v>710.63465366799937</v>
      </c>
      <c r="T32" s="76">
        <f t="shared" si="21"/>
        <v>718.94489888288808</v>
      </c>
      <c r="U32" s="76">
        <f t="shared" si="21"/>
        <v>727.35232508266199</v>
      </c>
      <c r="V32" s="76">
        <f t="shared" si="21"/>
        <v>735.85806871317618</v>
      </c>
      <c r="W32" s="76">
        <f t="shared" si="21"/>
        <v>744.46327951003332</v>
      </c>
      <c r="X32" s="73"/>
    </row>
    <row r="33" spans="1:24">
      <c r="A33" s="72" t="s">
        <v>43</v>
      </c>
      <c r="B33" s="95"/>
      <c r="C33" s="76"/>
      <c r="D33" s="76">
        <f t="shared" si="20"/>
        <v>0</v>
      </c>
      <c r="E33" s="76">
        <f t="shared" si="20"/>
        <v>4770568642</v>
      </c>
      <c r="F33" s="76">
        <f t="shared" si="20"/>
        <v>54247726</v>
      </c>
      <c r="G33" s="76">
        <f t="shared" si="20"/>
        <v>-6868239</v>
      </c>
      <c r="H33" s="76">
        <f t="shared" si="20"/>
        <v>-151234742</v>
      </c>
      <c r="I33" s="76">
        <f t="shared" si="20"/>
        <v>-22685144</v>
      </c>
      <c r="J33" s="76">
        <f t="shared" si="20"/>
        <v>309346225</v>
      </c>
      <c r="K33" s="76">
        <f t="shared" si="20"/>
        <v>-4953374468</v>
      </c>
      <c r="L33" s="73">
        <f t="shared" si="15"/>
        <v>36561165.200000003</v>
      </c>
      <c r="M33" s="73">
        <f t="shared" si="16"/>
        <v>23689743.5</v>
      </c>
      <c r="N33" s="76">
        <f t="shared" si="17"/>
        <v>4912707103</v>
      </c>
      <c r="O33" s="76">
        <f t="shared" si="21"/>
        <v>24435338.147562981</v>
      </c>
      <c r="P33" s="76" t="e">
        <f t="shared" si="21"/>
        <v>#DIV/0!</v>
      </c>
      <c r="Q33" s="76" t="e">
        <f t="shared" si="21"/>
        <v>#DIV/0!</v>
      </c>
      <c r="R33" s="76" t="e">
        <f t="shared" si="21"/>
        <v>#DIV/0!</v>
      </c>
      <c r="S33" s="76" t="e">
        <f t="shared" si="21"/>
        <v>#DIV/0!</v>
      </c>
      <c r="T33" s="76" t="e">
        <f t="shared" si="21"/>
        <v>#DIV/0!</v>
      </c>
      <c r="U33" s="76" t="e">
        <f t="shared" si="21"/>
        <v>#DIV/0!</v>
      </c>
      <c r="V33" s="76" t="e">
        <f t="shared" si="21"/>
        <v>#DIV/0!</v>
      </c>
      <c r="W33" s="76" t="e">
        <f t="shared" si="21"/>
        <v>#DIV/0!</v>
      </c>
      <c r="X33" s="73"/>
    </row>
    <row r="34" spans="1:24">
      <c r="A34" s="72" t="s">
        <v>44</v>
      </c>
      <c r="B34" s="95"/>
      <c r="C34" s="76"/>
      <c r="D34" s="76">
        <f t="shared" si="20"/>
        <v>0</v>
      </c>
      <c r="E34" s="76">
        <f t="shared" si="20"/>
        <v>0</v>
      </c>
      <c r="F34" s="76">
        <f t="shared" si="20"/>
        <v>0</v>
      </c>
      <c r="G34" s="76">
        <f t="shared" si="20"/>
        <v>0</v>
      </c>
      <c r="H34" s="76">
        <f t="shared" si="20"/>
        <v>0</v>
      </c>
      <c r="I34" s="76">
        <f t="shared" si="20"/>
        <v>0</v>
      </c>
      <c r="J34" s="76">
        <f t="shared" si="20"/>
        <v>0</v>
      </c>
      <c r="K34" s="76">
        <f t="shared" si="20"/>
        <v>0</v>
      </c>
      <c r="L34" s="73">
        <f t="shared" si="15"/>
        <v>0</v>
      </c>
      <c r="M34" s="73">
        <f t="shared" si="16"/>
        <v>0</v>
      </c>
      <c r="N34" s="76">
        <f t="shared" si="17"/>
        <v>0</v>
      </c>
      <c r="O34" s="76" t="e">
        <f t="shared" si="21"/>
        <v>#DIV/0!</v>
      </c>
      <c r="P34" s="76" t="e">
        <f t="shared" si="21"/>
        <v>#DIV/0!</v>
      </c>
      <c r="Q34" s="76" t="e">
        <f t="shared" si="21"/>
        <v>#DIV/0!</v>
      </c>
      <c r="R34" s="76" t="e">
        <f t="shared" si="21"/>
        <v>#DIV/0!</v>
      </c>
      <c r="S34" s="76" t="e">
        <f t="shared" si="21"/>
        <v>#DIV/0!</v>
      </c>
      <c r="T34" s="76" t="e">
        <f t="shared" si="21"/>
        <v>#DIV/0!</v>
      </c>
      <c r="U34" s="76" t="e">
        <f t="shared" si="21"/>
        <v>#DIV/0!</v>
      </c>
      <c r="V34" s="76" t="e">
        <f t="shared" si="21"/>
        <v>#DIV/0!</v>
      </c>
      <c r="W34" s="76" t="e">
        <f t="shared" si="21"/>
        <v>#DIV/0!</v>
      </c>
      <c r="X34" s="73"/>
    </row>
    <row r="35" spans="1:24">
      <c r="A35" s="72" t="s">
        <v>57</v>
      </c>
      <c r="B35" s="95"/>
      <c r="C35" s="76"/>
      <c r="D35" s="76">
        <f t="shared" si="20"/>
        <v>0</v>
      </c>
      <c r="E35" s="76">
        <f t="shared" si="20"/>
        <v>0</v>
      </c>
      <c r="F35" s="76">
        <f t="shared" si="20"/>
        <v>0</v>
      </c>
      <c r="G35" s="76">
        <f t="shared" si="20"/>
        <v>0</v>
      </c>
      <c r="H35" s="76">
        <f t="shared" si="20"/>
        <v>0</v>
      </c>
      <c r="I35" s="76">
        <f t="shared" si="20"/>
        <v>0</v>
      </c>
      <c r="J35" s="76">
        <f t="shared" si="20"/>
        <v>0</v>
      </c>
      <c r="K35" s="76">
        <f t="shared" si="20"/>
        <v>0</v>
      </c>
      <c r="L35" s="73">
        <f t="shared" si="15"/>
        <v>0</v>
      </c>
      <c r="M35" s="73">
        <f t="shared" si="16"/>
        <v>0</v>
      </c>
      <c r="N35" s="76">
        <f t="shared" si="17"/>
        <v>0</v>
      </c>
      <c r="O35" s="76" t="e">
        <f t="shared" si="21"/>
        <v>#DIV/0!</v>
      </c>
      <c r="P35" s="76" t="e">
        <f t="shared" si="21"/>
        <v>#DIV/0!</v>
      </c>
      <c r="Q35" s="76" t="e">
        <f t="shared" si="21"/>
        <v>#DIV/0!</v>
      </c>
      <c r="R35" s="76" t="e">
        <f t="shared" si="21"/>
        <v>#DIV/0!</v>
      </c>
      <c r="S35" s="76" t="e">
        <f t="shared" si="21"/>
        <v>#DIV/0!</v>
      </c>
      <c r="T35" s="76" t="e">
        <f t="shared" si="21"/>
        <v>#DIV/0!</v>
      </c>
      <c r="U35" s="76" t="e">
        <f t="shared" si="21"/>
        <v>#DIV/0!</v>
      </c>
      <c r="V35" s="76" t="e">
        <f t="shared" si="21"/>
        <v>#DIV/0!</v>
      </c>
      <c r="W35" s="76" t="e">
        <f t="shared" si="21"/>
        <v>#DIV/0!</v>
      </c>
      <c r="X35" s="73"/>
    </row>
    <row r="36" spans="1:24">
      <c r="A36" s="72" t="s">
        <v>55</v>
      </c>
      <c r="B36" s="95"/>
      <c r="C36" s="76"/>
      <c r="D36" s="76">
        <f t="shared" si="20"/>
        <v>0</v>
      </c>
      <c r="E36" s="76">
        <f t="shared" si="20"/>
        <v>0</v>
      </c>
      <c r="F36" s="76">
        <f t="shared" si="20"/>
        <v>0</v>
      </c>
      <c r="G36" s="76">
        <f t="shared" si="20"/>
        <v>0</v>
      </c>
      <c r="H36" s="76">
        <f t="shared" si="20"/>
        <v>0</v>
      </c>
      <c r="I36" s="76">
        <f t="shared" si="20"/>
        <v>0</v>
      </c>
      <c r="J36" s="76">
        <f t="shared" si="20"/>
        <v>2418589</v>
      </c>
      <c r="K36" s="76">
        <f t="shared" si="20"/>
        <v>41764</v>
      </c>
      <c r="L36" s="73">
        <f t="shared" si="15"/>
        <v>483717.8</v>
      </c>
      <c r="M36" s="73">
        <f t="shared" si="16"/>
        <v>0</v>
      </c>
      <c r="N36" s="76">
        <f t="shared" si="17"/>
        <v>-2460353</v>
      </c>
      <c r="O36" s="76" t="e">
        <f t="shared" si="21"/>
        <v>#DIV/0!</v>
      </c>
      <c r="P36" s="76" t="e">
        <f t="shared" si="21"/>
        <v>#DIV/0!</v>
      </c>
      <c r="Q36" s="76" t="e">
        <f t="shared" si="21"/>
        <v>#DIV/0!</v>
      </c>
      <c r="R36" s="76" t="e">
        <f t="shared" si="21"/>
        <v>#DIV/0!</v>
      </c>
      <c r="S36" s="76" t="e">
        <f t="shared" si="21"/>
        <v>#DIV/0!</v>
      </c>
      <c r="T36" s="76" t="e">
        <f t="shared" si="21"/>
        <v>#DIV/0!</v>
      </c>
      <c r="U36" s="76" t="e">
        <f t="shared" si="21"/>
        <v>#DIV/0!</v>
      </c>
      <c r="V36" s="76" t="e">
        <f t="shared" si="21"/>
        <v>#DIV/0!</v>
      </c>
      <c r="W36" s="76" t="e">
        <f t="shared" si="21"/>
        <v>#DIV/0!</v>
      </c>
      <c r="X36" s="73"/>
    </row>
    <row r="37" spans="1:24">
      <c r="A37" s="72" t="s">
        <v>45</v>
      </c>
      <c r="B37" s="95"/>
      <c r="C37" s="76"/>
      <c r="D37" s="76">
        <f t="shared" si="20"/>
        <v>0</v>
      </c>
      <c r="E37" s="76">
        <f t="shared" si="20"/>
        <v>0</v>
      </c>
      <c r="F37" s="76">
        <f t="shared" si="20"/>
        <v>0</v>
      </c>
      <c r="G37" s="76">
        <f t="shared" si="20"/>
        <v>0</v>
      </c>
      <c r="H37" s="76">
        <f t="shared" si="20"/>
        <v>0</v>
      </c>
      <c r="I37" s="76">
        <f t="shared" si="20"/>
        <v>0</v>
      </c>
      <c r="J37" s="76">
        <f t="shared" si="20"/>
        <v>3944928</v>
      </c>
      <c r="K37" s="76">
        <f t="shared" si="20"/>
        <v>-3944928</v>
      </c>
      <c r="L37" s="73">
        <f t="shared" si="15"/>
        <v>788985.6</v>
      </c>
      <c r="M37" s="73">
        <f t="shared" si="16"/>
        <v>0</v>
      </c>
      <c r="N37" s="76">
        <f t="shared" si="17"/>
        <v>0</v>
      </c>
      <c r="O37" s="76" t="e">
        <f t="shared" si="21"/>
        <v>#DIV/0!</v>
      </c>
      <c r="P37" s="76" t="e">
        <f t="shared" si="21"/>
        <v>#DIV/0!</v>
      </c>
      <c r="Q37" s="76" t="e">
        <f t="shared" si="21"/>
        <v>#DIV/0!</v>
      </c>
      <c r="R37" s="76" t="e">
        <f t="shared" si="21"/>
        <v>#DIV/0!</v>
      </c>
      <c r="S37" s="76" t="e">
        <f t="shared" si="21"/>
        <v>#DIV/0!</v>
      </c>
      <c r="T37" s="76" t="e">
        <f t="shared" si="21"/>
        <v>#DIV/0!</v>
      </c>
      <c r="U37" s="76" t="e">
        <f t="shared" si="21"/>
        <v>#DIV/0!</v>
      </c>
      <c r="V37" s="76" t="e">
        <f t="shared" si="21"/>
        <v>#DIV/0!</v>
      </c>
      <c r="W37" s="76" t="e">
        <f t="shared" si="21"/>
        <v>#DIV/0!</v>
      </c>
      <c r="X37" s="73"/>
    </row>
    <row r="38" spans="1:24" outlineLevel="1">
      <c r="A38" s="72" t="s">
        <v>48</v>
      </c>
      <c r="B38" s="95"/>
      <c r="C38" s="73"/>
      <c r="D38" s="76">
        <f t="shared" si="20"/>
        <v>0</v>
      </c>
      <c r="E38" s="76">
        <f t="shared" si="20"/>
        <v>0</v>
      </c>
      <c r="F38" s="76">
        <f t="shared" si="20"/>
        <v>0</v>
      </c>
      <c r="G38" s="76">
        <f t="shared" si="20"/>
        <v>0</v>
      </c>
      <c r="H38" s="76">
        <f t="shared" si="20"/>
        <v>0</v>
      </c>
      <c r="I38" s="76">
        <f t="shared" si="20"/>
        <v>0</v>
      </c>
      <c r="J38" s="76">
        <f t="shared" si="20"/>
        <v>0</v>
      </c>
      <c r="K38" s="76">
        <f t="shared" si="20"/>
        <v>0</v>
      </c>
      <c r="L38" s="73">
        <f t="shared" si="15"/>
        <v>0</v>
      </c>
      <c r="M38" s="73">
        <f t="shared" si="16"/>
        <v>0</v>
      </c>
      <c r="N38" s="76">
        <f t="shared" si="17"/>
        <v>0</v>
      </c>
      <c r="O38" s="76" t="e">
        <f t="shared" si="21"/>
        <v>#DIV/0!</v>
      </c>
      <c r="P38" s="76" t="e">
        <f t="shared" si="21"/>
        <v>#DIV/0!</v>
      </c>
      <c r="Q38" s="76" t="e">
        <f t="shared" si="21"/>
        <v>#DIV/0!</v>
      </c>
      <c r="R38" s="76" t="e">
        <f t="shared" si="21"/>
        <v>#DIV/0!</v>
      </c>
      <c r="S38" s="76" t="e">
        <f t="shared" si="21"/>
        <v>#DIV/0!</v>
      </c>
      <c r="T38" s="76" t="e">
        <f t="shared" si="21"/>
        <v>#DIV/0!</v>
      </c>
      <c r="U38" s="76" t="e">
        <f t="shared" si="21"/>
        <v>#DIV/0!</v>
      </c>
      <c r="V38" s="76" t="e">
        <f t="shared" si="21"/>
        <v>#DIV/0!</v>
      </c>
      <c r="W38" s="76" t="e">
        <f t="shared" si="21"/>
        <v>#DIV/0!</v>
      </c>
      <c r="X38" s="96"/>
    </row>
    <row r="39" spans="1:24" outlineLevel="1">
      <c r="A39" s="72" t="s">
        <v>50</v>
      </c>
      <c r="B39" s="95"/>
      <c r="C39" s="73"/>
      <c r="D39" s="76">
        <f t="shared" si="20"/>
        <v>0</v>
      </c>
      <c r="E39" s="76">
        <f t="shared" si="20"/>
        <v>0</v>
      </c>
      <c r="F39" s="76">
        <f t="shared" si="20"/>
        <v>0</v>
      </c>
      <c r="G39" s="76">
        <f t="shared" si="20"/>
        <v>0</v>
      </c>
      <c r="H39" s="76">
        <f t="shared" si="20"/>
        <v>0</v>
      </c>
      <c r="I39" s="76">
        <f t="shared" si="20"/>
        <v>0</v>
      </c>
      <c r="J39" s="76">
        <f t="shared" si="20"/>
        <v>792740</v>
      </c>
      <c r="K39" s="76">
        <f t="shared" si="20"/>
        <v>106069</v>
      </c>
      <c r="L39" s="73">
        <f t="shared" si="15"/>
        <v>158548</v>
      </c>
      <c r="M39" s="73">
        <f t="shared" si="16"/>
        <v>0</v>
      </c>
      <c r="N39" s="76">
        <f t="shared" si="17"/>
        <v>-898809</v>
      </c>
      <c r="O39" s="76" t="e">
        <f t="shared" si="21"/>
        <v>#DIV/0!</v>
      </c>
      <c r="P39" s="76" t="e">
        <f t="shared" si="21"/>
        <v>#DIV/0!</v>
      </c>
      <c r="Q39" s="76" t="e">
        <f t="shared" si="21"/>
        <v>#DIV/0!</v>
      </c>
      <c r="R39" s="76" t="e">
        <f t="shared" si="21"/>
        <v>#DIV/0!</v>
      </c>
      <c r="S39" s="76" t="e">
        <f t="shared" si="21"/>
        <v>#DIV/0!</v>
      </c>
      <c r="T39" s="76" t="e">
        <f t="shared" si="21"/>
        <v>#DIV/0!</v>
      </c>
      <c r="U39" s="76" t="e">
        <f t="shared" si="21"/>
        <v>#DIV/0!</v>
      </c>
      <c r="V39" s="76" t="e">
        <f t="shared" si="21"/>
        <v>#DIV/0!</v>
      </c>
      <c r="W39" s="76" t="e">
        <f t="shared" si="21"/>
        <v>#DIV/0!</v>
      </c>
      <c r="X39" s="96"/>
    </row>
    <row r="40" spans="1:24" outlineLevel="1">
      <c r="A40" s="72" t="s">
        <v>47</v>
      </c>
      <c r="B40" s="95"/>
      <c r="C40" s="73"/>
      <c r="D40" s="76">
        <f t="shared" si="20"/>
        <v>0</v>
      </c>
      <c r="E40" s="76">
        <f t="shared" si="20"/>
        <v>0</v>
      </c>
      <c r="F40" s="76">
        <f t="shared" si="20"/>
        <v>0</v>
      </c>
      <c r="G40" s="76">
        <f t="shared" si="20"/>
        <v>0</v>
      </c>
      <c r="H40" s="76">
        <f t="shared" si="20"/>
        <v>0</v>
      </c>
      <c r="I40" s="76">
        <f t="shared" si="20"/>
        <v>0</v>
      </c>
      <c r="J40" s="76">
        <f t="shared" si="20"/>
        <v>0</v>
      </c>
      <c r="K40" s="76">
        <f t="shared" si="20"/>
        <v>0</v>
      </c>
      <c r="L40" s="73">
        <f t="shared" si="15"/>
        <v>0</v>
      </c>
      <c r="M40" s="73">
        <f t="shared" si="16"/>
        <v>0</v>
      </c>
      <c r="N40" s="76">
        <f t="shared" si="17"/>
        <v>0</v>
      </c>
      <c r="O40" s="76" t="e">
        <f t="shared" si="21"/>
        <v>#DIV/0!</v>
      </c>
      <c r="P40" s="76" t="e">
        <f t="shared" si="21"/>
        <v>#DIV/0!</v>
      </c>
      <c r="Q40" s="76" t="e">
        <f t="shared" si="21"/>
        <v>#DIV/0!</v>
      </c>
      <c r="R40" s="76" t="e">
        <f t="shared" si="21"/>
        <v>#DIV/0!</v>
      </c>
      <c r="S40" s="76" t="e">
        <f t="shared" si="21"/>
        <v>#DIV/0!</v>
      </c>
      <c r="T40" s="76" t="e">
        <f t="shared" si="21"/>
        <v>#DIV/0!</v>
      </c>
      <c r="U40" s="76" t="e">
        <f t="shared" si="21"/>
        <v>#DIV/0!</v>
      </c>
      <c r="V40" s="76" t="e">
        <f t="shared" si="21"/>
        <v>#DIV/0!</v>
      </c>
      <c r="W40" s="76" t="e">
        <f t="shared" si="21"/>
        <v>#DIV/0!</v>
      </c>
      <c r="X40" s="96"/>
    </row>
    <row r="41" spans="1:24" outlineLevel="1">
      <c r="A41" s="72" t="s">
        <v>52</v>
      </c>
      <c r="B41" s="95"/>
      <c r="C41" s="73"/>
      <c r="D41" s="76">
        <f t="shared" si="20"/>
        <v>0</v>
      </c>
      <c r="E41" s="76">
        <f t="shared" si="20"/>
        <v>1464501</v>
      </c>
      <c r="F41" s="76">
        <f t="shared" si="20"/>
        <v>-5038</v>
      </c>
      <c r="G41" s="76">
        <f t="shared" si="20"/>
        <v>-1204</v>
      </c>
      <c r="H41" s="76">
        <f t="shared" si="20"/>
        <v>-67113</v>
      </c>
      <c r="I41" s="76">
        <f t="shared" si="20"/>
        <v>83335</v>
      </c>
      <c r="J41" s="76">
        <f t="shared" si="20"/>
        <v>-15254</v>
      </c>
      <c r="K41" s="76">
        <f t="shared" si="20"/>
        <v>-1459227</v>
      </c>
      <c r="L41" s="73">
        <f t="shared" si="15"/>
        <v>-1054.8</v>
      </c>
      <c r="M41" s="73">
        <f t="shared" si="16"/>
        <v>-3121</v>
      </c>
      <c r="N41" s="76">
        <f t="shared" si="17"/>
        <v>1445775</v>
      </c>
      <c r="O41" s="76">
        <f t="shared" si="21"/>
        <v>-3083.1445019748062</v>
      </c>
      <c r="P41" s="76" t="e">
        <f t="shared" si="21"/>
        <v>#DIV/0!</v>
      </c>
      <c r="Q41" s="76" t="e">
        <f t="shared" si="21"/>
        <v>#DIV/0!</v>
      </c>
      <c r="R41" s="76" t="e">
        <f t="shared" si="21"/>
        <v>#DIV/0!</v>
      </c>
      <c r="S41" s="76" t="e">
        <f t="shared" si="21"/>
        <v>#DIV/0!</v>
      </c>
      <c r="T41" s="76" t="e">
        <f t="shared" si="21"/>
        <v>#DIV/0!</v>
      </c>
      <c r="U41" s="76" t="e">
        <f t="shared" si="21"/>
        <v>#DIV/0!</v>
      </c>
      <c r="V41" s="76" t="e">
        <f t="shared" si="21"/>
        <v>#DIV/0!</v>
      </c>
      <c r="W41" s="76" t="e">
        <f t="shared" si="21"/>
        <v>#DIV/0!</v>
      </c>
      <c r="X41" s="96"/>
    </row>
    <row r="42" spans="1:24" outlineLevel="1">
      <c r="A42" s="72" t="s">
        <v>60</v>
      </c>
      <c r="B42" s="95"/>
      <c r="C42" s="73"/>
      <c r="D42" s="76">
        <f t="shared" si="20"/>
        <v>0</v>
      </c>
      <c r="E42" s="76">
        <f t="shared" si="20"/>
        <v>0</v>
      </c>
      <c r="F42" s="76">
        <f t="shared" si="20"/>
        <v>0</v>
      </c>
      <c r="G42" s="76">
        <f t="shared" si="20"/>
        <v>0</v>
      </c>
      <c r="H42" s="76">
        <f t="shared" si="20"/>
        <v>0</v>
      </c>
      <c r="I42" s="76">
        <f t="shared" si="20"/>
        <v>0</v>
      </c>
      <c r="J42" s="76">
        <f t="shared" si="20"/>
        <v>0</v>
      </c>
      <c r="K42" s="76">
        <f t="shared" si="20"/>
        <v>0</v>
      </c>
      <c r="L42" s="73">
        <f t="shared" si="15"/>
        <v>0</v>
      </c>
      <c r="M42" s="73">
        <f t="shared" si="16"/>
        <v>0</v>
      </c>
      <c r="N42" s="76">
        <f t="shared" si="17"/>
        <v>0</v>
      </c>
      <c r="O42" s="76" t="e">
        <f t="shared" si="21"/>
        <v>#DIV/0!</v>
      </c>
      <c r="P42" s="76" t="e">
        <f t="shared" si="21"/>
        <v>#DIV/0!</v>
      </c>
      <c r="Q42" s="76" t="e">
        <f t="shared" si="21"/>
        <v>#DIV/0!</v>
      </c>
      <c r="R42" s="76" t="e">
        <f t="shared" si="21"/>
        <v>#DIV/0!</v>
      </c>
      <c r="S42" s="76" t="e">
        <f t="shared" si="21"/>
        <v>#DIV/0!</v>
      </c>
      <c r="T42" s="76" t="e">
        <f t="shared" si="21"/>
        <v>#DIV/0!</v>
      </c>
      <c r="U42" s="76" t="e">
        <f t="shared" si="21"/>
        <v>#DIV/0!</v>
      </c>
      <c r="V42" s="76" t="e">
        <f t="shared" si="21"/>
        <v>#DIV/0!</v>
      </c>
      <c r="W42" s="76" t="e">
        <f t="shared" si="21"/>
        <v>#DIV/0!</v>
      </c>
      <c r="X42" s="96"/>
    </row>
    <row r="43" spans="1:24" outlineLevel="1">
      <c r="A43" s="72" t="s">
        <v>58</v>
      </c>
      <c r="B43" s="95"/>
      <c r="C43" s="73"/>
      <c r="D43" s="76">
        <f t="shared" si="20"/>
        <v>0</v>
      </c>
      <c r="E43" s="76">
        <f t="shared" si="20"/>
        <v>694219</v>
      </c>
      <c r="F43" s="76">
        <f t="shared" si="20"/>
        <v>4529</v>
      </c>
      <c r="G43" s="76">
        <f t="shared" si="20"/>
        <v>-6324</v>
      </c>
      <c r="H43" s="76">
        <f t="shared" si="20"/>
        <v>-83373</v>
      </c>
      <c r="I43" s="76">
        <f t="shared" si="20"/>
        <v>10843</v>
      </c>
      <c r="J43" s="76">
        <f t="shared" si="20"/>
        <v>16566</v>
      </c>
      <c r="K43" s="76">
        <f t="shared" si="20"/>
        <v>-636460</v>
      </c>
      <c r="L43" s="73">
        <f t="shared" si="15"/>
        <v>-11551.8</v>
      </c>
      <c r="M43" s="73">
        <f t="shared" si="16"/>
        <v>-897.5</v>
      </c>
      <c r="N43" s="76">
        <f t="shared" si="17"/>
        <v>688834</v>
      </c>
      <c r="O43" s="76">
        <f t="shared" si="21"/>
        <v>-870.20234596228693</v>
      </c>
      <c r="P43" s="76" t="e">
        <f t="shared" si="21"/>
        <v>#DIV/0!</v>
      </c>
      <c r="Q43" s="76" t="e">
        <f t="shared" si="21"/>
        <v>#DIV/0!</v>
      </c>
      <c r="R43" s="76" t="e">
        <f t="shared" si="21"/>
        <v>#DIV/0!</v>
      </c>
      <c r="S43" s="76" t="e">
        <f t="shared" si="21"/>
        <v>#DIV/0!</v>
      </c>
      <c r="T43" s="76" t="e">
        <f t="shared" si="21"/>
        <v>#DIV/0!</v>
      </c>
      <c r="U43" s="76" t="e">
        <f t="shared" si="21"/>
        <v>#DIV/0!</v>
      </c>
      <c r="V43" s="76" t="e">
        <f t="shared" si="21"/>
        <v>#DIV/0!</v>
      </c>
      <c r="W43" s="76" t="e">
        <f t="shared" si="21"/>
        <v>#DIV/0!</v>
      </c>
      <c r="X43" s="96"/>
    </row>
    <row r="44" spans="1:24" outlineLevel="1">
      <c r="A44" s="72" t="s">
        <v>49</v>
      </c>
      <c r="B44" s="95"/>
      <c r="C44" s="73"/>
      <c r="D44" s="76">
        <f t="shared" si="20"/>
        <v>0</v>
      </c>
      <c r="E44" s="76">
        <f t="shared" si="20"/>
        <v>0</v>
      </c>
      <c r="F44" s="76">
        <f t="shared" si="20"/>
        <v>0</v>
      </c>
      <c r="G44" s="76">
        <f t="shared" si="20"/>
        <v>0</v>
      </c>
      <c r="H44" s="76">
        <f t="shared" si="20"/>
        <v>0</v>
      </c>
      <c r="I44" s="76">
        <f t="shared" si="20"/>
        <v>0</v>
      </c>
      <c r="J44" s="76">
        <f t="shared" si="20"/>
        <v>0</v>
      </c>
      <c r="K44" s="76">
        <f t="shared" si="20"/>
        <v>0</v>
      </c>
      <c r="L44" s="73">
        <f t="shared" si="15"/>
        <v>0</v>
      </c>
      <c r="M44" s="73">
        <f t="shared" si="16"/>
        <v>0</v>
      </c>
      <c r="N44" s="76">
        <f t="shared" si="17"/>
        <v>0</v>
      </c>
      <c r="O44" s="76" t="e">
        <f t="shared" si="21"/>
        <v>#DIV/0!</v>
      </c>
      <c r="P44" s="76" t="e">
        <f t="shared" si="21"/>
        <v>#DIV/0!</v>
      </c>
      <c r="Q44" s="76" t="e">
        <f t="shared" si="21"/>
        <v>#DIV/0!</v>
      </c>
      <c r="R44" s="76" t="e">
        <f t="shared" si="21"/>
        <v>#DIV/0!</v>
      </c>
      <c r="S44" s="76" t="e">
        <f t="shared" si="21"/>
        <v>#DIV/0!</v>
      </c>
      <c r="T44" s="76" t="e">
        <f t="shared" si="21"/>
        <v>#DIV/0!</v>
      </c>
      <c r="U44" s="76" t="e">
        <f t="shared" si="21"/>
        <v>#DIV/0!</v>
      </c>
      <c r="V44" s="76" t="e">
        <f t="shared" si="21"/>
        <v>#DIV/0!</v>
      </c>
      <c r="W44" s="76" t="e">
        <f t="shared" si="21"/>
        <v>#DIV/0!</v>
      </c>
      <c r="X44" s="96"/>
    </row>
    <row r="45" spans="1:24" outlineLevel="1">
      <c r="A45" s="72" t="s">
        <v>53</v>
      </c>
      <c r="B45" s="95"/>
      <c r="C45" s="73"/>
      <c r="D45" s="76">
        <f t="shared" si="20"/>
        <v>0</v>
      </c>
      <c r="E45" s="76">
        <f t="shared" si="20"/>
        <v>0</v>
      </c>
      <c r="F45" s="76">
        <f t="shared" si="20"/>
        <v>0</v>
      </c>
      <c r="G45" s="76">
        <f t="shared" si="20"/>
        <v>1170375.31</v>
      </c>
      <c r="H45" s="76">
        <f t="shared" si="20"/>
        <v>-170948.56999999995</v>
      </c>
      <c r="I45" s="76">
        <f t="shared" si="20"/>
        <v>155000.11999999976</v>
      </c>
      <c r="J45" s="76">
        <f t="shared" si="20"/>
        <v>-659.85999999986961</v>
      </c>
      <c r="K45" s="76">
        <f t="shared" si="20"/>
        <v>50745.370000000112</v>
      </c>
      <c r="L45" s="73">
        <f t="shared" si="15"/>
        <v>230753.4</v>
      </c>
      <c r="M45" s="73">
        <f t="shared" si="16"/>
        <v>585187.65500000003</v>
      </c>
      <c r="N45" s="76">
        <f t="shared" si="17"/>
        <v>2306613.56</v>
      </c>
      <c r="O45" s="76" t="e">
        <f t="shared" si="21"/>
        <v>#DIV/0!</v>
      </c>
      <c r="P45" s="76" t="e">
        <f t="shared" si="21"/>
        <v>#DIV/0!</v>
      </c>
      <c r="Q45" s="76" t="e">
        <f t="shared" si="21"/>
        <v>#DIV/0!</v>
      </c>
      <c r="R45" s="76" t="e">
        <f t="shared" si="21"/>
        <v>#DIV/0!</v>
      </c>
      <c r="S45" s="76" t="e">
        <f t="shared" si="21"/>
        <v>#DIV/0!</v>
      </c>
      <c r="T45" s="76" t="e">
        <f t="shared" si="21"/>
        <v>#DIV/0!</v>
      </c>
      <c r="U45" s="76" t="e">
        <f t="shared" si="21"/>
        <v>#DIV/0!</v>
      </c>
      <c r="V45" s="76" t="e">
        <f t="shared" si="21"/>
        <v>#DIV/0!</v>
      </c>
      <c r="W45" s="76" t="e">
        <f t="shared" si="21"/>
        <v>#DIV/0!</v>
      </c>
      <c r="X45" s="96"/>
    </row>
    <row r="46" spans="1:24" outlineLevel="1">
      <c r="A46" s="72" t="s">
        <v>42</v>
      </c>
      <c r="B46" s="95"/>
      <c r="C46" s="73"/>
      <c r="D46" s="76">
        <f t="shared" si="20"/>
        <v>0</v>
      </c>
      <c r="E46" s="76">
        <f t="shared" si="20"/>
        <v>0</v>
      </c>
      <c r="F46" s="76">
        <f t="shared" si="20"/>
        <v>1100761</v>
      </c>
      <c r="G46" s="76">
        <f t="shared" si="20"/>
        <v>45012</v>
      </c>
      <c r="H46" s="76">
        <f t="shared" si="20"/>
        <v>18042</v>
      </c>
      <c r="I46" s="76">
        <f t="shared" si="20"/>
        <v>-4656</v>
      </c>
      <c r="J46" s="76">
        <f t="shared" si="20"/>
        <v>197918</v>
      </c>
      <c r="K46" s="76">
        <f t="shared" si="20"/>
        <v>-211186.08000000007</v>
      </c>
      <c r="L46" s="73">
        <f t="shared" si="15"/>
        <v>271415.40000000002</v>
      </c>
      <c r="M46" s="73">
        <f t="shared" si="16"/>
        <v>572886.5</v>
      </c>
      <c r="N46" s="76">
        <f t="shared" si="17"/>
        <v>2291428.08</v>
      </c>
      <c r="O46" s="76" t="e">
        <f t="shared" si="21"/>
        <v>#DIV/0!</v>
      </c>
      <c r="P46" s="76" t="e">
        <f t="shared" si="21"/>
        <v>#DIV/0!</v>
      </c>
      <c r="Q46" s="76" t="e">
        <f t="shared" si="21"/>
        <v>#DIV/0!</v>
      </c>
      <c r="R46" s="76" t="e">
        <f t="shared" si="21"/>
        <v>#DIV/0!</v>
      </c>
      <c r="S46" s="76" t="e">
        <f t="shared" si="21"/>
        <v>#DIV/0!</v>
      </c>
      <c r="T46" s="76" t="e">
        <f t="shared" si="21"/>
        <v>#DIV/0!</v>
      </c>
      <c r="U46" s="76" t="e">
        <f t="shared" si="21"/>
        <v>#DIV/0!</v>
      </c>
      <c r="V46" s="76" t="e">
        <f t="shared" si="21"/>
        <v>#DIV/0!</v>
      </c>
      <c r="W46" s="76" t="e">
        <f t="shared" si="21"/>
        <v>#DIV/0!</v>
      </c>
      <c r="X46" s="96"/>
    </row>
    <row r="47" spans="1:24" outlineLevel="1">
      <c r="A47" s="72" t="s">
        <v>54</v>
      </c>
      <c r="B47" s="95"/>
      <c r="C47" s="73"/>
      <c r="D47" s="76">
        <f t="shared" si="20"/>
        <v>0</v>
      </c>
      <c r="E47" s="76">
        <f t="shared" si="20"/>
        <v>3526720</v>
      </c>
      <c r="F47" s="76">
        <f t="shared" si="20"/>
        <v>37280</v>
      </c>
      <c r="G47" s="76">
        <f t="shared" si="20"/>
        <v>52795</v>
      </c>
      <c r="H47" s="76">
        <f t="shared" si="20"/>
        <v>-114853</v>
      </c>
      <c r="I47" s="76">
        <f t="shared" si="20"/>
        <v>18446</v>
      </c>
      <c r="J47" s="76">
        <f t="shared" si="20"/>
        <v>153913</v>
      </c>
      <c r="K47" s="76">
        <f t="shared" si="20"/>
        <v>97744</v>
      </c>
      <c r="L47" s="73">
        <f t="shared" si="15"/>
        <v>29516.2</v>
      </c>
      <c r="M47" s="73">
        <f t="shared" si="16"/>
        <v>45037.5</v>
      </c>
      <c r="N47" s="76">
        <f t="shared" si="17"/>
        <v>24900</v>
      </c>
      <c r="O47" s="76">
        <f t="shared" si="21"/>
        <v>48191.092686329968</v>
      </c>
      <c r="P47" s="76">
        <f t="shared" si="21"/>
        <v>25382.488466571551</v>
      </c>
      <c r="Q47" s="76">
        <f t="shared" si="21"/>
        <v>49124.89374707872</v>
      </c>
      <c r="R47" s="76">
        <f t="shared" si="21"/>
        <v>49748.390349681955</v>
      </c>
      <c r="S47" s="76">
        <f t="shared" si="21"/>
        <v>50379.800414967816</v>
      </c>
      <c r="T47" s="76">
        <f t="shared" si="21"/>
        <v>51019.224381160922</v>
      </c>
      <c r="U47" s="76">
        <f t="shared" si="21"/>
        <v>51666.763961254153</v>
      </c>
      <c r="V47" s="76">
        <f t="shared" si="21"/>
        <v>52322.522159189451</v>
      </c>
      <c r="W47" s="76">
        <f t="shared" si="21"/>
        <v>52986.603286242113</v>
      </c>
      <c r="X47" s="96"/>
    </row>
    <row r="48" spans="1:24" outlineLevel="1">
      <c r="A48" s="72" t="s">
        <v>438</v>
      </c>
      <c r="B48" s="95"/>
      <c r="C48" s="73"/>
      <c r="D48" s="76">
        <f t="shared" ref="D48:K49" si="22">D25-C25</f>
        <v>0</v>
      </c>
      <c r="E48" s="76">
        <f t="shared" si="22"/>
        <v>0</v>
      </c>
      <c r="F48" s="76">
        <f t="shared" si="22"/>
        <v>0</v>
      </c>
      <c r="G48" s="76">
        <f t="shared" si="22"/>
        <v>0</v>
      </c>
      <c r="H48" s="76">
        <f t="shared" si="22"/>
        <v>0</v>
      </c>
      <c r="I48" s="76">
        <f t="shared" si="22"/>
        <v>0</v>
      </c>
      <c r="J48" s="76">
        <f t="shared" si="22"/>
        <v>0</v>
      </c>
      <c r="K48" s="76">
        <f t="shared" si="22"/>
        <v>0</v>
      </c>
      <c r="L48" s="73">
        <f t="shared" si="15"/>
        <v>0</v>
      </c>
      <c r="M48" s="73">
        <f t="shared" si="16"/>
        <v>0</v>
      </c>
      <c r="N48" s="76">
        <f t="shared" si="17"/>
        <v>0</v>
      </c>
      <c r="O48" s="76" t="e">
        <f t="shared" ref="O48:W49" si="23">O25-N25</f>
        <v>#DIV/0!</v>
      </c>
      <c r="P48" s="76" t="e">
        <f t="shared" si="23"/>
        <v>#DIV/0!</v>
      </c>
      <c r="Q48" s="76" t="e">
        <f t="shared" si="23"/>
        <v>#DIV/0!</v>
      </c>
      <c r="R48" s="76" t="e">
        <f t="shared" si="23"/>
        <v>#DIV/0!</v>
      </c>
      <c r="S48" s="76" t="e">
        <f t="shared" si="23"/>
        <v>#DIV/0!</v>
      </c>
      <c r="T48" s="76" t="e">
        <f t="shared" si="23"/>
        <v>#DIV/0!</v>
      </c>
      <c r="U48" s="76" t="e">
        <f t="shared" si="23"/>
        <v>#DIV/0!</v>
      </c>
      <c r="V48" s="76" t="e">
        <f t="shared" si="23"/>
        <v>#DIV/0!</v>
      </c>
      <c r="W48" s="76" t="e">
        <f t="shared" si="23"/>
        <v>#DIV/0!</v>
      </c>
      <c r="X48" s="96"/>
    </row>
    <row r="49" spans="1:24" outlineLevel="1">
      <c r="A49" s="72"/>
      <c r="B49" s="95"/>
      <c r="C49" s="73"/>
      <c r="D49" s="76">
        <f t="shared" si="22"/>
        <v>0</v>
      </c>
      <c r="E49" s="76">
        <f t="shared" si="22"/>
        <v>4776313986.5555553</v>
      </c>
      <c r="F49" s="76">
        <f t="shared" si="22"/>
        <v>55386002.111111641</v>
      </c>
      <c r="G49" s="76">
        <f t="shared" si="22"/>
        <v>-5606919.5788888931</v>
      </c>
      <c r="H49" s="76">
        <f t="shared" si="22"/>
        <v>-151656645.80333424</v>
      </c>
      <c r="I49" s="76">
        <f t="shared" si="22"/>
        <v>-22422329.624444008</v>
      </c>
      <c r="J49" s="76">
        <f t="shared" si="22"/>
        <v>316855218.8955555</v>
      </c>
      <c r="K49" s="76">
        <f t="shared" si="22"/>
        <v>-4959330173.0433331</v>
      </c>
      <c r="L49" s="73">
        <f t="shared" si="15"/>
        <v>38511065.200000003</v>
      </c>
      <c r="M49" s="73">
        <f t="shared" si="16"/>
        <v>24889541.266111374</v>
      </c>
      <c r="N49" s="76">
        <f t="shared" si="17"/>
        <v>4916106066.9322224</v>
      </c>
      <c r="O49" s="76" t="e">
        <f t="shared" si="23"/>
        <v>#DIV/0!</v>
      </c>
      <c r="P49" s="76" t="e">
        <f t="shared" si="23"/>
        <v>#DIV/0!</v>
      </c>
      <c r="Q49" s="76" t="e">
        <f t="shared" si="23"/>
        <v>#DIV/0!</v>
      </c>
      <c r="R49" s="76" t="e">
        <f t="shared" si="23"/>
        <v>#DIV/0!</v>
      </c>
      <c r="S49" s="76" t="e">
        <f t="shared" si="23"/>
        <v>#DIV/0!</v>
      </c>
      <c r="T49" s="76" t="e">
        <f t="shared" si="23"/>
        <v>#DIV/0!</v>
      </c>
      <c r="U49" s="76" t="e">
        <f t="shared" si="23"/>
        <v>#DIV/0!</v>
      </c>
      <c r="V49" s="76" t="e">
        <f t="shared" si="23"/>
        <v>#DIV/0!</v>
      </c>
      <c r="W49" s="76" t="e">
        <f t="shared" si="23"/>
        <v>#DIV/0!</v>
      </c>
      <c r="X49" s="96"/>
    </row>
    <row r="50" spans="1:24" s="159" customFormat="1">
      <c r="A50" s="74" t="s">
        <v>203</v>
      </c>
      <c r="B50" s="74"/>
      <c r="C50" s="75"/>
      <c r="D50" s="75">
        <f t="shared" ref="D50:K50" si="24">SUM(D31:D49)</f>
        <v>0</v>
      </c>
      <c r="E50" s="75">
        <f t="shared" si="24"/>
        <v>9552627973.1111107</v>
      </c>
      <c r="F50" s="75">
        <f t="shared" si="24"/>
        <v>110772004.22222275</v>
      </c>
      <c r="G50" s="75">
        <f t="shared" si="24"/>
        <v>-11213839.157777783</v>
      </c>
      <c r="H50" s="75">
        <f t="shared" si="24"/>
        <v>-303313291.60666752</v>
      </c>
      <c r="I50" s="75">
        <f t="shared" si="24"/>
        <v>-44844659.248888448</v>
      </c>
      <c r="J50" s="75">
        <f t="shared" si="24"/>
        <v>633710437.79111099</v>
      </c>
      <c r="K50" s="75">
        <f t="shared" si="24"/>
        <v>-9918660346.0866661</v>
      </c>
      <c r="L50" s="101">
        <f>AVERAGE(F50:J50)</f>
        <v>77022130.400000006</v>
      </c>
      <c r="M50" s="101">
        <f>AVERAGE(F50:G50)</f>
        <v>49779082.53222248</v>
      </c>
      <c r="N50" s="109">
        <f>N26-K26</f>
        <v>4916106066.9322224</v>
      </c>
      <c r="O50" s="109" t="e">
        <f t="shared" ref="O50:W50" si="25">O26-N26</f>
        <v>#DIV/0!</v>
      </c>
      <c r="P50" s="109" t="e">
        <f t="shared" si="25"/>
        <v>#DIV/0!</v>
      </c>
      <c r="Q50" s="109" t="e">
        <f t="shared" si="25"/>
        <v>#DIV/0!</v>
      </c>
      <c r="R50" s="109" t="e">
        <f t="shared" si="25"/>
        <v>#DIV/0!</v>
      </c>
      <c r="S50" s="109" t="e">
        <f t="shared" si="25"/>
        <v>#DIV/0!</v>
      </c>
      <c r="T50" s="109" t="e">
        <f t="shared" si="25"/>
        <v>#DIV/0!</v>
      </c>
      <c r="U50" s="109" t="e">
        <f t="shared" si="25"/>
        <v>#DIV/0!</v>
      </c>
      <c r="V50" s="109" t="e">
        <f t="shared" si="25"/>
        <v>#DIV/0!</v>
      </c>
      <c r="W50" s="109" t="e">
        <f t="shared" si="25"/>
        <v>#DIV/0!</v>
      </c>
      <c r="X50" s="162"/>
    </row>
    <row r="52" spans="1:24">
      <c r="A52" s="71">
        <v>3</v>
      </c>
      <c r="B52" s="71" t="s">
        <v>264</v>
      </c>
      <c r="C52" s="1910" t="s">
        <v>446</v>
      </c>
      <c r="D52" s="1910"/>
      <c r="E52" s="1910"/>
      <c r="F52" s="1910"/>
      <c r="G52" s="1910"/>
      <c r="H52" s="1910"/>
      <c r="I52" s="1910"/>
      <c r="J52" s="1910"/>
      <c r="K52" s="86"/>
      <c r="L52" s="86"/>
      <c r="M52" s="161"/>
      <c r="N52" s="161"/>
      <c r="O52" s="161"/>
      <c r="P52" s="161"/>
      <c r="Q52" s="161"/>
      <c r="R52" s="161"/>
      <c r="S52" s="161"/>
      <c r="T52" s="161"/>
      <c r="U52" s="161"/>
      <c r="V52" s="161"/>
      <c r="W52" s="161"/>
      <c r="X52" s="161"/>
    </row>
    <row r="53" spans="1:24">
      <c r="A53" s="71"/>
      <c r="B53" s="71" t="s">
        <v>357</v>
      </c>
      <c r="C53" s="72">
        <v>2015</v>
      </c>
      <c r="D53" s="72" t="s">
        <v>303</v>
      </c>
      <c r="E53" s="72" t="s">
        <v>304</v>
      </c>
      <c r="F53" s="72" t="s">
        <v>305</v>
      </c>
      <c r="G53" s="72" t="s">
        <v>306</v>
      </c>
      <c r="H53" s="72" t="s">
        <v>307</v>
      </c>
      <c r="I53" s="72" t="s">
        <v>308</v>
      </c>
      <c r="J53" s="72" t="s">
        <v>309</v>
      </c>
      <c r="K53" s="72" t="s">
        <v>340</v>
      </c>
      <c r="L53" s="72" t="s">
        <v>153</v>
      </c>
      <c r="M53" s="72" t="s">
        <v>356</v>
      </c>
      <c r="N53" s="72" t="s">
        <v>341</v>
      </c>
      <c r="O53" s="72" t="s">
        <v>342</v>
      </c>
      <c r="P53" s="72" t="s">
        <v>343</v>
      </c>
      <c r="Q53" s="72" t="s">
        <v>344</v>
      </c>
      <c r="R53" s="72" t="s">
        <v>345</v>
      </c>
      <c r="S53" s="72" t="s">
        <v>346</v>
      </c>
      <c r="T53" s="72" t="s">
        <v>347</v>
      </c>
      <c r="U53" s="72" t="s">
        <v>348</v>
      </c>
      <c r="V53" s="72" t="s">
        <v>349</v>
      </c>
      <c r="W53" s="72" t="s">
        <v>350</v>
      </c>
      <c r="X53" s="72" t="s">
        <v>353</v>
      </c>
    </row>
    <row r="54" spans="1:24">
      <c r="A54" s="71" t="s">
        <v>16</v>
      </c>
      <c r="B54" s="92"/>
      <c r="C54" s="72"/>
      <c r="D54" s="77" t="e">
        <f>D30/#REF!</f>
        <v>#REF!</v>
      </c>
      <c r="E54" s="77" t="e">
        <f t="shared" ref="E54:K55" si="26">E30/D7</f>
        <v>#DIV/0!</v>
      </c>
      <c r="F54" s="77" t="e">
        <f t="shared" si="26"/>
        <v>#DIV/0!</v>
      </c>
      <c r="G54" s="77" t="e">
        <f t="shared" si="26"/>
        <v>#DIV/0!</v>
      </c>
      <c r="H54" s="77" t="e">
        <f t="shared" si="26"/>
        <v>#DIV/0!</v>
      </c>
      <c r="I54" s="77" t="e">
        <f t="shared" si="26"/>
        <v>#DIV/0!</v>
      </c>
      <c r="J54" s="77" t="e">
        <f t="shared" si="26"/>
        <v>#DIV/0!</v>
      </c>
      <c r="K54" s="77" t="e">
        <f t="shared" si="26"/>
        <v>#DIV/0!</v>
      </c>
      <c r="L54" s="98" t="e">
        <f t="shared" ref="L54:L73" si="27">AVERAGE(F54:J54)</f>
        <v>#DIV/0!</v>
      </c>
      <c r="M54" s="98" t="e">
        <f t="shared" ref="M54:M73" si="28">AVERAGE(F54:G54)</f>
        <v>#DIV/0!</v>
      </c>
      <c r="N54" s="105" t="e">
        <f t="shared" ref="N54:N73" si="29">N30/K7</f>
        <v>#DIV/0!</v>
      </c>
      <c r="O54" s="105" t="e">
        <f t="shared" ref="O54:O73" si="30">M54</f>
        <v>#DIV/0!</v>
      </c>
      <c r="P54" s="105" t="e">
        <f t="shared" ref="P54:W69" si="31">O54</f>
        <v>#DIV/0!</v>
      </c>
      <c r="Q54" s="105" t="e">
        <f t="shared" si="31"/>
        <v>#DIV/0!</v>
      </c>
      <c r="R54" s="105" t="e">
        <f t="shared" si="31"/>
        <v>#DIV/0!</v>
      </c>
      <c r="S54" s="105" t="e">
        <f t="shared" si="31"/>
        <v>#DIV/0!</v>
      </c>
      <c r="T54" s="105" t="e">
        <f t="shared" si="31"/>
        <v>#DIV/0!</v>
      </c>
      <c r="U54" s="105" t="e">
        <f t="shared" si="31"/>
        <v>#DIV/0!</v>
      </c>
      <c r="V54" s="105" t="e">
        <f t="shared" si="31"/>
        <v>#DIV/0!</v>
      </c>
      <c r="W54" s="105" t="e">
        <f t="shared" si="31"/>
        <v>#DIV/0!</v>
      </c>
      <c r="X54" s="72"/>
    </row>
    <row r="55" spans="1:24">
      <c r="A55" s="72" t="s">
        <v>40</v>
      </c>
      <c r="B55" s="92"/>
      <c r="C55" s="76"/>
      <c r="D55" s="77" t="e">
        <f>D31/#REF!</f>
        <v>#REF!</v>
      </c>
      <c r="E55" s="77" t="e">
        <f t="shared" si="26"/>
        <v>#DIV/0!</v>
      </c>
      <c r="F55" s="77" t="e">
        <f t="shared" si="26"/>
        <v>#DIV/0!</v>
      </c>
      <c r="G55" s="77" t="e">
        <f t="shared" si="26"/>
        <v>#DIV/0!</v>
      </c>
      <c r="H55" s="77" t="e">
        <f t="shared" si="26"/>
        <v>#DIV/0!</v>
      </c>
      <c r="I55" s="77" t="e">
        <f t="shared" si="26"/>
        <v>#DIV/0!</v>
      </c>
      <c r="J55" s="77" t="e">
        <f t="shared" si="26"/>
        <v>#DIV/0!</v>
      </c>
      <c r="K55" s="77" t="e">
        <f t="shared" si="26"/>
        <v>#DIV/0!</v>
      </c>
      <c r="L55" s="98" t="e">
        <f t="shared" si="27"/>
        <v>#DIV/0!</v>
      </c>
      <c r="M55" s="98" t="e">
        <f t="shared" si="28"/>
        <v>#DIV/0!</v>
      </c>
      <c r="N55" s="105" t="e">
        <f t="shared" si="29"/>
        <v>#DIV/0!</v>
      </c>
      <c r="O55" s="105" t="e">
        <f t="shared" si="30"/>
        <v>#DIV/0!</v>
      </c>
      <c r="P55" s="105" t="e">
        <f t="shared" si="31"/>
        <v>#DIV/0!</v>
      </c>
      <c r="Q55" s="105" t="e">
        <f t="shared" si="31"/>
        <v>#DIV/0!</v>
      </c>
      <c r="R55" s="105" t="e">
        <f t="shared" si="31"/>
        <v>#DIV/0!</v>
      </c>
      <c r="S55" s="105" t="e">
        <f t="shared" si="31"/>
        <v>#DIV/0!</v>
      </c>
      <c r="T55" s="105" t="e">
        <f t="shared" si="31"/>
        <v>#DIV/0!</v>
      </c>
      <c r="U55" s="105" t="e">
        <f t="shared" si="31"/>
        <v>#DIV/0!</v>
      </c>
      <c r="V55" s="105" t="e">
        <f t="shared" si="31"/>
        <v>#DIV/0!</v>
      </c>
      <c r="W55" s="105" t="e">
        <f t="shared" si="31"/>
        <v>#DIV/0!</v>
      </c>
      <c r="X55" s="71"/>
    </row>
    <row r="56" spans="1:24">
      <c r="A56" s="72" t="s">
        <v>59</v>
      </c>
      <c r="B56" s="92"/>
      <c r="C56" s="76"/>
      <c r="D56" s="77" t="e">
        <f>D32/#REF!</f>
        <v>#REF!</v>
      </c>
      <c r="E56" s="77" t="e">
        <f t="shared" ref="E56:K71" si="32">E32/D9</f>
        <v>#DIV/0!</v>
      </c>
      <c r="F56" s="77">
        <f t="shared" si="32"/>
        <v>1.2421611415195627E-2</v>
      </c>
      <c r="G56" s="77">
        <f t="shared" si="32"/>
        <v>1.0966623796804274E-2</v>
      </c>
      <c r="H56" s="77">
        <f t="shared" si="32"/>
        <v>-5.9664132042100443E-2</v>
      </c>
      <c r="I56" s="77">
        <f t="shared" si="32"/>
        <v>-2.6666029421088112E-3</v>
      </c>
      <c r="J56" s="77">
        <f t="shared" si="32"/>
        <v>4.4130019504702777E-3</v>
      </c>
      <c r="K56" s="77">
        <f t="shared" si="32"/>
        <v>-3.9188149288188184E-3</v>
      </c>
      <c r="L56" s="98">
        <f t="shared" si="27"/>
        <v>-6.9058995643478159E-3</v>
      </c>
      <c r="M56" s="98">
        <f t="shared" si="28"/>
        <v>1.169411760599995E-2</v>
      </c>
      <c r="N56" s="105">
        <f t="shared" si="29"/>
        <v>9.9999999999999395E-3</v>
      </c>
      <c r="O56" s="105">
        <f t="shared" si="30"/>
        <v>1.169411760599995E-2</v>
      </c>
      <c r="P56" s="105">
        <f t="shared" si="31"/>
        <v>1.169411760599995E-2</v>
      </c>
      <c r="Q56" s="105">
        <f t="shared" si="31"/>
        <v>1.169411760599995E-2</v>
      </c>
      <c r="R56" s="105">
        <f t="shared" si="31"/>
        <v>1.169411760599995E-2</v>
      </c>
      <c r="S56" s="105">
        <f t="shared" si="31"/>
        <v>1.169411760599995E-2</v>
      </c>
      <c r="T56" s="105">
        <f t="shared" si="31"/>
        <v>1.169411760599995E-2</v>
      </c>
      <c r="U56" s="105">
        <f t="shared" si="31"/>
        <v>1.169411760599995E-2</v>
      </c>
      <c r="V56" s="105">
        <f t="shared" si="31"/>
        <v>1.169411760599995E-2</v>
      </c>
      <c r="W56" s="105">
        <f t="shared" si="31"/>
        <v>1.169411760599995E-2</v>
      </c>
      <c r="X56" s="71"/>
    </row>
    <row r="57" spans="1:24">
      <c r="A57" s="72" t="s">
        <v>43</v>
      </c>
      <c r="B57" s="92"/>
      <c r="C57" s="76"/>
      <c r="D57" s="77" t="e">
        <f>D33/#REF!</f>
        <v>#REF!</v>
      </c>
      <c r="E57" s="77" t="e">
        <f t="shared" si="32"/>
        <v>#DIV/0!</v>
      </c>
      <c r="F57" s="77">
        <f t="shared" si="32"/>
        <v>1.1371333287693212E-2</v>
      </c>
      <c r="G57" s="77">
        <f t="shared" si="32"/>
        <v>-1.4235233998857965E-3</v>
      </c>
      <c r="H57" s="77">
        <f t="shared" si="32"/>
        <v>-3.1389865135677555E-2</v>
      </c>
      <c r="I57" s="77">
        <f t="shared" si="32"/>
        <v>-4.8610536192759766E-3</v>
      </c>
      <c r="J57" s="77">
        <f t="shared" si="32"/>
        <v>6.6611615781252256E-2</v>
      </c>
      <c r="K57" s="77">
        <f t="shared" si="32"/>
        <v>-1</v>
      </c>
      <c r="L57" s="98">
        <f t="shared" si="27"/>
        <v>8.0617013828212271E-3</v>
      </c>
      <c r="M57" s="98">
        <f t="shared" si="28"/>
        <v>4.9739049439037081E-3</v>
      </c>
      <c r="N57" s="105" t="e">
        <f t="shared" si="29"/>
        <v>#DIV/0!</v>
      </c>
      <c r="O57" s="105">
        <f t="shared" si="30"/>
        <v>4.9739049439037081E-3</v>
      </c>
      <c r="P57" s="105">
        <f t="shared" si="31"/>
        <v>4.9739049439037081E-3</v>
      </c>
      <c r="Q57" s="105">
        <f t="shared" si="31"/>
        <v>4.9739049439037081E-3</v>
      </c>
      <c r="R57" s="105">
        <f t="shared" si="31"/>
        <v>4.9739049439037081E-3</v>
      </c>
      <c r="S57" s="105">
        <f t="shared" si="31"/>
        <v>4.9739049439037081E-3</v>
      </c>
      <c r="T57" s="105">
        <f t="shared" si="31"/>
        <v>4.9739049439037081E-3</v>
      </c>
      <c r="U57" s="105">
        <f t="shared" si="31"/>
        <v>4.9739049439037081E-3</v>
      </c>
      <c r="V57" s="105">
        <f t="shared" si="31"/>
        <v>4.9739049439037081E-3</v>
      </c>
      <c r="W57" s="105">
        <f t="shared" si="31"/>
        <v>4.9739049439037081E-3</v>
      </c>
      <c r="X57" s="71"/>
    </row>
    <row r="58" spans="1:24">
      <c r="A58" s="72" t="s">
        <v>44</v>
      </c>
      <c r="B58" s="92"/>
      <c r="C58" s="76"/>
      <c r="D58" s="77" t="e">
        <f>D34/#REF!</f>
        <v>#REF!</v>
      </c>
      <c r="E58" s="77" t="e">
        <f t="shared" si="32"/>
        <v>#DIV/0!</v>
      </c>
      <c r="F58" s="77" t="e">
        <f t="shared" si="32"/>
        <v>#DIV/0!</v>
      </c>
      <c r="G58" s="77" t="e">
        <f t="shared" si="32"/>
        <v>#DIV/0!</v>
      </c>
      <c r="H58" s="77" t="e">
        <f t="shared" si="32"/>
        <v>#DIV/0!</v>
      </c>
      <c r="I58" s="77" t="e">
        <f t="shared" si="32"/>
        <v>#DIV/0!</v>
      </c>
      <c r="J58" s="77" t="e">
        <f t="shared" si="32"/>
        <v>#DIV/0!</v>
      </c>
      <c r="K58" s="77" t="e">
        <f t="shared" si="32"/>
        <v>#DIV/0!</v>
      </c>
      <c r="L58" s="98" t="e">
        <f t="shared" si="27"/>
        <v>#DIV/0!</v>
      </c>
      <c r="M58" s="98" t="e">
        <f t="shared" si="28"/>
        <v>#DIV/0!</v>
      </c>
      <c r="N58" s="105" t="e">
        <f t="shared" si="29"/>
        <v>#DIV/0!</v>
      </c>
      <c r="O58" s="105" t="e">
        <f t="shared" si="30"/>
        <v>#DIV/0!</v>
      </c>
      <c r="P58" s="105" t="e">
        <f t="shared" si="31"/>
        <v>#DIV/0!</v>
      </c>
      <c r="Q58" s="105" t="e">
        <f t="shared" si="31"/>
        <v>#DIV/0!</v>
      </c>
      <c r="R58" s="105" t="e">
        <f t="shared" si="31"/>
        <v>#DIV/0!</v>
      </c>
      <c r="S58" s="105" t="e">
        <f t="shared" si="31"/>
        <v>#DIV/0!</v>
      </c>
      <c r="T58" s="105" t="e">
        <f t="shared" si="31"/>
        <v>#DIV/0!</v>
      </c>
      <c r="U58" s="105" t="e">
        <f t="shared" si="31"/>
        <v>#DIV/0!</v>
      </c>
      <c r="V58" s="105" t="e">
        <f t="shared" si="31"/>
        <v>#DIV/0!</v>
      </c>
      <c r="W58" s="105" t="e">
        <f t="shared" si="31"/>
        <v>#DIV/0!</v>
      </c>
      <c r="X58" s="71"/>
    </row>
    <row r="59" spans="1:24">
      <c r="A59" s="72" t="s">
        <v>57</v>
      </c>
      <c r="B59" s="92"/>
      <c r="C59" s="76"/>
      <c r="D59" s="77" t="e">
        <f>D35/#REF!</f>
        <v>#REF!</v>
      </c>
      <c r="E59" s="77" t="e">
        <f t="shared" si="32"/>
        <v>#DIV/0!</v>
      </c>
      <c r="F59" s="77" t="e">
        <f t="shared" si="32"/>
        <v>#DIV/0!</v>
      </c>
      <c r="G59" s="77" t="e">
        <f t="shared" si="32"/>
        <v>#DIV/0!</v>
      </c>
      <c r="H59" s="77" t="e">
        <f t="shared" si="32"/>
        <v>#DIV/0!</v>
      </c>
      <c r="I59" s="77" t="e">
        <f t="shared" si="32"/>
        <v>#DIV/0!</v>
      </c>
      <c r="J59" s="77" t="e">
        <f t="shared" si="32"/>
        <v>#DIV/0!</v>
      </c>
      <c r="K59" s="77" t="e">
        <f t="shared" si="32"/>
        <v>#DIV/0!</v>
      </c>
      <c r="L59" s="98" t="e">
        <f t="shared" si="27"/>
        <v>#DIV/0!</v>
      </c>
      <c r="M59" s="98" t="e">
        <f t="shared" si="28"/>
        <v>#DIV/0!</v>
      </c>
      <c r="N59" s="105" t="e">
        <f t="shared" si="29"/>
        <v>#DIV/0!</v>
      </c>
      <c r="O59" s="105" t="e">
        <f t="shared" si="30"/>
        <v>#DIV/0!</v>
      </c>
      <c r="P59" s="105" t="e">
        <f t="shared" si="31"/>
        <v>#DIV/0!</v>
      </c>
      <c r="Q59" s="105" t="e">
        <f t="shared" si="31"/>
        <v>#DIV/0!</v>
      </c>
      <c r="R59" s="105" t="e">
        <f t="shared" si="31"/>
        <v>#DIV/0!</v>
      </c>
      <c r="S59" s="105" t="e">
        <f t="shared" si="31"/>
        <v>#DIV/0!</v>
      </c>
      <c r="T59" s="105" t="e">
        <f t="shared" si="31"/>
        <v>#DIV/0!</v>
      </c>
      <c r="U59" s="105" t="e">
        <f t="shared" si="31"/>
        <v>#DIV/0!</v>
      </c>
      <c r="V59" s="105" t="e">
        <f t="shared" si="31"/>
        <v>#DIV/0!</v>
      </c>
      <c r="W59" s="105" t="e">
        <f t="shared" si="31"/>
        <v>#DIV/0!</v>
      </c>
      <c r="X59" s="71"/>
    </row>
    <row r="60" spans="1:24">
      <c r="A60" s="72" t="s">
        <v>55</v>
      </c>
      <c r="B60" s="92"/>
      <c r="C60" s="76"/>
      <c r="D60" s="77" t="e">
        <f>D36/#REF!</f>
        <v>#REF!</v>
      </c>
      <c r="E60" s="77" t="e">
        <f t="shared" si="32"/>
        <v>#DIV/0!</v>
      </c>
      <c r="F60" s="77" t="e">
        <f t="shared" si="32"/>
        <v>#DIV/0!</v>
      </c>
      <c r="G60" s="77" t="e">
        <f t="shared" si="32"/>
        <v>#DIV/0!</v>
      </c>
      <c r="H60" s="77" t="e">
        <f t="shared" si="32"/>
        <v>#DIV/0!</v>
      </c>
      <c r="I60" s="77" t="e">
        <f t="shared" si="32"/>
        <v>#DIV/0!</v>
      </c>
      <c r="J60" s="77" t="e">
        <f t="shared" si="32"/>
        <v>#DIV/0!</v>
      </c>
      <c r="K60" s="77">
        <f t="shared" si="32"/>
        <v>1.7267919435670964E-2</v>
      </c>
      <c r="L60" s="98" t="e">
        <f t="shared" si="27"/>
        <v>#DIV/0!</v>
      </c>
      <c r="M60" s="98" t="e">
        <f t="shared" si="28"/>
        <v>#DIV/0!</v>
      </c>
      <c r="N60" s="105">
        <f t="shared" si="29"/>
        <v>-1</v>
      </c>
      <c r="O60" s="105" t="e">
        <f t="shared" si="30"/>
        <v>#DIV/0!</v>
      </c>
      <c r="P60" s="105" t="e">
        <f t="shared" si="31"/>
        <v>#DIV/0!</v>
      </c>
      <c r="Q60" s="105" t="e">
        <f t="shared" si="31"/>
        <v>#DIV/0!</v>
      </c>
      <c r="R60" s="105" t="e">
        <f t="shared" si="31"/>
        <v>#DIV/0!</v>
      </c>
      <c r="S60" s="105" t="e">
        <f t="shared" si="31"/>
        <v>#DIV/0!</v>
      </c>
      <c r="T60" s="105" t="e">
        <f t="shared" si="31"/>
        <v>#DIV/0!</v>
      </c>
      <c r="U60" s="105" t="e">
        <f t="shared" si="31"/>
        <v>#DIV/0!</v>
      </c>
      <c r="V60" s="105" t="e">
        <f t="shared" si="31"/>
        <v>#DIV/0!</v>
      </c>
      <c r="W60" s="105" t="e">
        <f t="shared" si="31"/>
        <v>#DIV/0!</v>
      </c>
      <c r="X60" s="71"/>
    </row>
    <row r="61" spans="1:24">
      <c r="A61" s="72" t="s">
        <v>45</v>
      </c>
      <c r="B61" s="92"/>
      <c r="C61" s="76"/>
      <c r="D61" s="77" t="e">
        <f>D37/#REF!</f>
        <v>#REF!</v>
      </c>
      <c r="E61" s="77" t="e">
        <f t="shared" si="32"/>
        <v>#DIV/0!</v>
      </c>
      <c r="F61" s="77" t="e">
        <f t="shared" si="32"/>
        <v>#DIV/0!</v>
      </c>
      <c r="G61" s="77" t="e">
        <f t="shared" si="32"/>
        <v>#DIV/0!</v>
      </c>
      <c r="H61" s="77" t="e">
        <f t="shared" si="32"/>
        <v>#DIV/0!</v>
      </c>
      <c r="I61" s="77" t="e">
        <f t="shared" si="32"/>
        <v>#DIV/0!</v>
      </c>
      <c r="J61" s="77" t="e">
        <f t="shared" si="32"/>
        <v>#DIV/0!</v>
      </c>
      <c r="K61" s="77">
        <f t="shared" si="32"/>
        <v>-1</v>
      </c>
      <c r="L61" s="98" t="e">
        <f t="shared" si="27"/>
        <v>#DIV/0!</v>
      </c>
      <c r="M61" s="98" t="e">
        <f t="shared" si="28"/>
        <v>#DIV/0!</v>
      </c>
      <c r="N61" s="105" t="e">
        <f t="shared" si="29"/>
        <v>#DIV/0!</v>
      </c>
      <c r="O61" s="105" t="e">
        <f t="shared" si="30"/>
        <v>#DIV/0!</v>
      </c>
      <c r="P61" s="105" t="e">
        <f t="shared" si="31"/>
        <v>#DIV/0!</v>
      </c>
      <c r="Q61" s="105" t="e">
        <f t="shared" si="31"/>
        <v>#DIV/0!</v>
      </c>
      <c r="R61" s="105" t="e">
        <f t="shared" si="31"/>
        <v>#DIV/0!</v>
      </c>
      <c r="S61" s="105" t="e">
        <f t="shared" si="31"/>
        <v>#DIV/0!</v>
      </c>
      <c r="T61" s="105" t="e">
        <f t="shared" si="31"/>
        <v>#DIV/0!</v>
      </c>
      <c r="U61" s="105" t="e">
        <f t="shared" si="31"/>
        <v>#DIV/0!</v>
      </c>
      <c r="V61" s="105" t="e">
        <f t="shared" si="31"/>
        <v>#DIV/0!</v>
      </c>
      <c r="W61" s="105" t="e">
        <f t="shared" si="31"/>
        <v>#DIV/0!</v>
      </c>
      <c r="X61" s="71"/>
    </row>
    <row r="62" spans="1:24" outlineLevel="1">
      <c r="A62" s="72" t="s">
        <v>48</v>
      </c>
      <c r="B62" s="95"/>
      <c r="C62" s="73"/>
      <c r="D62" s="77" t="e">
        <f>D38/#REF!</f>
        <v>#REF!</v>
      </c>
      <c r="E62" s="77" t="e">
        <f t="shared" si="32"/>
        <v>#DIV/0!</v>
      </c>
      <c r="F62" s="77" t="e">
        <f t="shared" si="32"/>
        <v>#DIV/0!</v>
      </c>
      <c r="G62" s="77" t="e">
        <f t="shared" si="32"/>
        <v>#DIV/0!</v>
      </c>
      <c r="H62" s="77" t="e">
        <f t="shared" si="32"/>
        <v>#DIV/0!</v>
      </c>
      <c r="I62" s="77" t="e">
        <f t="shared" si="32"/>
        <v>#DIV/0!</v>
      </c>
      <c r="J62" s="77" t="e">
        <f t="shared" si="32"/>
        <v>#DIV/0!</v>
      </c>
      <c r="K62" s="77" t="e">
        <f t="shared" si="32"/>
        <v>#DIV/0!</v>
      </c>
      <c r="L62" s="98" t="e">
        <f t="shared" si="27"/>
        <v>#DIV/0!</v>
      </c>
      <c r="M62" s="98" t="e">
        <f t="shared" si="28"/>
        <v>#DIV/0!</v>
      </c>
      <c r="N62" s="105" t="e">
        <f t="shared" si="29"/>
        <v>#DIV/0!</v>
      </c>
      <c r="O62" s="105" t="e">
        <f t="shared" si="30"/>
        <v>#DIV/0!</v>
      </c>
      <c r="P62" s="105" t="e">
        <f t="shared" si="31"/>
        <v>#DIV/0!</v>
      </c>
      <c r="Q62" s="105" t="e">
        <f t="shared" si="31"/>
        <v>#DIV/0!</v>
      </c>
      <c r="R62" s="105" t="e">
        <f t="shared" si="31"/>
        <v>#DIV/0!</v>
      </c>
      <c r="S62" s="105" t="e">
        <f t="shared" si="31"/>
        <v>#DIV/0!</v>
      </c>
      <c r="T62" s="105" t="e">
        <f t="shared" si="31"/>
        <v>#DIV/0!</v>
      </c>
      <c r="U62" s="105" t="e">
        <f t="shared" si="31"/>
        <v>#DIV/0!</v>
      </c>
      <c r="V62" s="105" t="e">
        <f t="shared" si="31"/>
        <v>#DIV/0!</v>
      </c>
      <c r="W62" s="105" t="e">
        <f t="shared" si="31"/>
        <v>#DIV/0!</v>
      </c>
      <c r="X62" s="96"/>
    </row>
    <row r="63" spans="1:24" outlineLevel="1">
      <c r="A63" s="72" t="s">
        <v>50</v>
      </c>
      <c r="B63" s="95"/>
      <c r="C63" s="73"/>
      <c r="D63" s="77" t="e">
        <f>D39/#REF!</f>
        <v>#REF!</v>
      </c>
      <c r="E63" s="77" t="e">
        <f t="shared" si="32"/>
        <v>#DIV/0!</v>
      </c>
      <c r="F63" s="77" t="e">
        <f t="shared" si="32"/>
        <v>#DIV/0!</v>
      </c>
      <c r="G63" s="77" t="e">
        <f t="shared" si="32"/>
        <v>#DIV/0!</v>
      </c>
      <c r="H63" s="77" t="e">
        <f t="shared" si="32"/>
        <v>#DIV/0!</v>
      </c>
      <c r="I63" s="77" t="e">
        <f t="shared" si="32"/>
        <v>#DIV/0!</v>
      </c>
      <c r="J63" s="77" t="e">
        <f t="shared" si="32"/>
        <v>#DIV/0!</v>
      </c>
      <c r="K63" s="77">
        <f t="shared" si="32"/>
        <v>0.13380048944168327</v>
      </c>
      <c r="L63" s="98" t="e">
        <f t="shared" si="27"/>
        <v>#DIV/0!</v>
      </c>
      <c r="M63" s="98" t="e">
        <f t="shared" si="28"/>
        <v>#DIV/0!</v>
      </c>
      <c r="N63" s="105">
        <f t="shared" si="29"/>
        <v>-1</v>
      </c>
      <c r="O63" s="105" t="e">
        <f t="shared" si="30"/>
        <v>#DIV/0!</v>
      </c>
      <c r="P63" s="105" t="e">
        <f t="shared" si="31"/>
        <v>#DIV/0!</v>
      </c>
      <c r="Q63" s="105" t="e">
        <f t="shared" si="31"/>
        <v>#DIV/0!</v>
      </c>
      <c r="R63" s="105" t="e">
        <f t="shared" si="31"/>
        <v>#DIV/0!</v>
      </c>
      <c r="S63" s="105" t="e">
        <f t="shared" si="31"/>
        <v>#DIV/0!</v>
      </c>
      <c r="T63" s="105" t="e">
        <f t="shared" si="31"/>
        <v>#DIV/0!</v>
      </c>
      <c r="U63" s="105" t="e">
        <f t="shared" si="31"/>
        <v>#DIV/0!</v>
      </c>
      <c r="V63" s="105" t="e">
        <f t="shared" si="31"/>
        <v>#DIV/0!</v>
      </c>
      <c r="W63" s="105" t="e">
        <f t="shared" si="31"/>
        <v>#DIV/0!</v>
      </c>
      <c r="X63" s="96"/>
    </row>
    <row r="64" spans="1:24" outlineLevel="1">
      <c r="A64" s="72" t="s">
        <v>47</v>
      </c>
      <c r="B64" s="95"/>
      <c r="C64" s="73"/>
      <c r="D64" s="77" t="e">
        <f>D40/#REF!</f>
        <v>#REF!</v>
      </c>
      <c r="E64" s="77" t="e">
        <f t="shared" si="32"/>
        <v>#DIV/0!</v>
      </c>
      <c r="F64" s="77" t="e">
        <f t="shared" si="32"/>
        <v>#DIV/0!</v>
      </c>
      <c r="G64" s="77" t="e">
        <f t="shared" si="32"/>
        <v>#DIV/0!</v>
      </c>
      <c r="H64" s="77" t="e">
        <f t="shared" si="32"/>
        <v>#DIV/0!</v>
      </c>
      <c r="I64" s="77" t="e">
        <f t="shared" si="32"/>
        <v>#DIV/0!</v>
      </c>
      <c r="J64" s="77" t="e">
        <f t="shared" si="32"/>
        <v>#DIV/0!</v>
      </c>
      <c r="K64" s="77" t="e">
        <f t="shared" si="32"/>
        <v>#DIV/0!</v>
      </c>
      <c r="L64" s="98" t="e">
        <f t="shared" si="27"/>
        <v>#DIV/0!</v>
      </c>
      <c r="M64" s="98" t="e">
        <f t="shared" si="28"/>
        <v>#DIV/0!</v>
      </c>
      <c r="N64" s="105" t="e">
        <f t="shared" si="29"/>
        <v>#DIV/0!</v>
      </c>
      <c r="O64" s="105" t="e">
        <f t="shared" si="30"/>
        <v>#DIV/0!</v>
      </c>
      <c r="P64" s="105" t="e">
        <f t="shared" si="31"/>
        <v>#DIV/0!</v>
      </c>
      <c r="Q64" s="105" t="e">
        <f t="shared" si="31"/>
        <v>#DIV/0!</v>
      </c>
      <c r="R64" s="105" t="e">
        <f t="shared" si="31"/>
        <v>#DIV/0!</v>
      </c>
      <c r="S64" s="105" t="e">
        <f t="shared" si="31"/>
        <v>#DIV/0!</v>
      </c>
      <c r="T64" s="105" t="e">
        <f t="shared" si="31"/>
        <v>#DIV/0!</v>
      </c>
      <c r="U64" s="105" t="e">
        <f t="shared" si="31"/>
        <v>#DIV/0!</v>
      </c>
      <c r="V64" s="105" t="e">
        <f t="shared" si="31"/>
        <v>#DIV/0!</v>
      </c>
      <c r="W64" s="105" t="e">
        <f t="shared" si="31"/>
        <v>#DIV/0!</v>
      </c>
      <c r="X64" s="96"/>
    </row>
    <row r="65" spans="1:24" outlineLevel="1">
      <c r="A65" s="72" t="s">
        <v>52</v>
      </c>
      <c r="B65" s="95"/>
      <c r="C65" s="73"/>
      <c r="D65" s="77" t="e">
        <f>D41/#REF!</f>
        <v>#REF!</v>
      </c>
      <c r="E65" s="77" t="e">
        <f t="shared" si="32"/>
        <v>#DIV/0!</v>
      </c>
      <c r="F65" s="77">
        <f t="shared" si="32"/>
        <v>-3.4400795902495116E-3</v>
      </c>
      <c r="G65" s="77">
        <f t="shared" si="32"/>
        <v>-8.2496096166877815E-4</v>
      </c>
      <c r="H65" s="77">
        <f t="shared" si="32"/>
        <v>-4.6022688699332563E-2</v>
      </c>
      <c r="I65" s="77">
        <f t="shared" si="32"/>
        <v>5.9903849056820779E-2</v>
      </c>
      <c r="J65" s="77">
        <f t="shared" si="32"/>
        <v>-1.0345335070441735E-2</v>
      </c>
      <c r="K65" s="77">
        <f t="shared" si="32"/>
        <v>-1</v>
      </c>
      <c r="L65" s="98">
        <f t="shared" si="27"/>
        <v>-1.4584305297436241E-4</v>
      </c>
      <c r="M65" s="98">
        <f t="shared" si="28"/>
        <v>-2.132520275959145E-3</v>
      </c>
      <c r="N65" s="105" t="e">
        <f t="shared" si="29"/>
        <v>#DIV/0!</v>
      </c>
      <c r="O65" s="105">
        <f t="shared" si="30"/>
        <v>-2.132520275959145E-3</v>
      </c>
      <c r="P65" s="105">
        <f t="shared" si="31"/>
        <v>-2.132520275959145E-3</v>
      </c>
      <c r="Q65" s="105">
        <f t="shared" si="31"/>
        <v>-2.132520275959145E-3</v>
      </c>
      <c r="R65" s="105">
        <f t="shared" si="31"/>
        <v>-2.132520275959145E-3</v>
      </c>
      <c r="S65" s="105">
        <f t="shared" si="31"/>
        <v>-2.132520275959145E-3</v>
      </c>
      <c r="T65" s="105">
        <f t="shared" si="31"/>
        <v>-2.132520275959145E-3</v>
      </c>
      <c r="U65" s="105">
        <f t="shared" si="31"/>
        <v>-2.132520275959145E-3</v>
      </c>
      <c r="V65" s="105">
        <f t="shared" si="31"/>
        <v>-2.132520275959145E-3</v>
      </c>
      <c r="W65" s="105">
        <f t="shared" si="31"/>
        <v>-2.132520275959145E-3</v>
      </c>
      <c r="X65" s="96"/>
    </row>
    <row r="66" spans="1:24" outlineLevel="1">
      <c r="A66" s="72" t="s">
        <v>60</v>
      </c>
      <c r="B66" s="95"/>
      <c r="C66" s="73"/>
      <c r="D66" s="77" t="e">
        <f>D42/#REF!</f>
        <v>#REF!</v>
      </c>
      <c r="E66" s="77" t="e">
        <f t="shared" si="32"/>
        <v>#DIV/0!</v>
      </c>
      <c r="F66" s="77" t="e">
        <f t="shared" si="32"/>
        <v>#DIV/0!</v>
      </c>
      <c r="G66" s="77" t="e">
        <f t="shared" si="32"/>
        <v>#DIV/0!</v>
      </c>
      <c r="H66" s="77" t="e">
        <f t="shared" si="32"/>
        <v>#DIV/0!</v>
      </c>
      <c r="I66" s="77" t="e">
        <f t="shared" si="32"/>
        <v>#DIV/0!</v>
      </c>
      <c r="J66" s="77" t="e">
        <f t="shared" si="32"/>
        <v>#DIV/0!</v>
      </c>
      <c r="K66" s="77" t="e">
        <f t="shared" si="32"/>
        <v>#DIV/0!</v>
      </c>
      <c r="L66" s="98" t="e">
        <f t="shared" si="27"/>
        <v>#DIV/0!</v>
      </c>
      <c r="M66" s="98" t="e">
        <f t="shared" si="28"/>
        <v>#DIV/0!</v>
      </c>
      <c r="N66" s="105" t="e">
        <f t="shared" si="29"/>
        <v>#DIV/0!</v>
      </c>
      <c r="O66" s="105" t="e">
        <f t="shared" si="30"/>
        <v>#DIV/0!</v>
      </c>
      <c r="P66" s="105" t="e">
        <f t="shared" si="31"/>
        <v>#DIV/0!</v>
      </c>
      <c r="Q66" s="105" t="e">
        <f t="shared" si="31"/>
        <v>#DIV/0!</v>
      </c>
      <c r="R66" s="105" t="e">
        <f t="shared" si="31"/>
        <v>#DIV/0!</v>
      </c>
      <c r="S66" s="105" t="e">
        <f t="shared" si="31"/>
        <v>#DIV/0!</v>
      </c>
      <c r="T66" s="105" t="e">
        <f t="shared" si="31"/>
        <v>#DIV/0!</v>
      </c>
      <c r="U66" s="105" t="e">
        <f t="shared" si="31"/>
        <v>#DIV/0!</v>
      </c>
      <c r="V66" s="105" t="e">
        <f t="shared" si="31"/>
        <v>#DIV/0!</v>
      </c>
      <c r="W66" s="105" t="e">
        <f t="shared" si="31"/>
        <v>#DIV/0!</v>
      </c>
      <c r="X66" s="96"/>
    </row>
    <row r="67" spans="1:24" outlineLevel="1">
      <c r="A67" s="72" t="s">
        <v>58</v>
      </c>
      <c r="B67" s="95"/>
      <c r="C67" s="73"/>
      <c r="D67" s="77" t="e">
        <f>D43/#REF!</f>
        <v>#REF!</v>
      </c>
      <c r="E67" s="77" t="e">
        <f t="shared" si="32"/>
        <v>#DIV/0!</v>
      </c>
      <c r="F67" s="77">
        <f t="shared" si="32"/>
        <v>6.5238779117252621E-3</v>
      </c>
      <c r="G67" s="77">
        <f t="shared" si="32"/>
        <v>-9.0504731319445645E-3</v>
      </c>
      <c r="H67" s="77">
        <f t="shared" si="32"/>
        <v>-0.12040743821704621</v>
      </c>
      <c r="I67" s="77">
        <f t="shared" si="32"/>
        <v>1.7803106800579917E-2</v>
      </c>
      <c r="J67" s="77">
        <f t="shared" si="32"/>
        <v>2.672392376761188E-2</v>
      </c>
      <c r="K67" s="77">
        <f t="shared" si="32"/>
        <v>-1</v>
      </c>
      <c r="L67" s="98">
        <f t="shared" si="27"/>
        <v>-1.568140057381474E-2</v>
      </c>
      <c r="M67" s="98">
        <f t="shared" si="28"/>
        <v>-1.2632976101096512E-3</v>
      </c>
      <c r="N67" s="105" t="e">
        <f t="shared" si="29"/>
        <v>#DIV/0!</v>
      </c>
      <c r="O67" s="105">
        <f t="shared" si="30"/>
        <v>-1.2632976101096512E-3</v>
      </c>
      <c r="P67" s="105">
        <f t="shared" si="31"/>
        <v>-1.2632976101096512E-3</v>
      </c>
      <c r="Q67" s="105">
        <f t="shared" si="31"/>
        <v>-1.2632976101096512E-3</v>
      </c>
      <c r="R67" s="105">
        <f t="shared" si="31"/>
        <v>-1.2632976101096512E-3</v>
      </c>
      <c r="S67" s="105">
        <f t="shared" si="31"/>
        <v>-1.2632976101096512E-3</v>
      </c>
      <c r="T67" s="105">
        <f t="shared" si="31"/>
        <v>-1.2632976101096512E-3</v>
      </c>
      <c r="U67" s="105">
        <f t="shared" si="31"/>
        <v>-1.2632976101096512E-3</v>
      </c>
      <c r="V67" s="105">
        <f t="shared" si="31"/>
        <v>-1.2632976101096512E-3</v>
      </c>
      <c r="W67" s="105">
        <f t="shared" si="31"/>
        <v>-1.2632976101096512E-3</v>
      </c>
      <c r="X67" s="96"/>
    </row>
    <row r="68" spans="1:24" outlineLevel="1">
      <c r="A68" s="72" t="s">
        <v>49</v>
      </c>
      <c r="B68" s="95"/>
      <c r="C68" s="73"/>
      <c r="D68" s="77" t="e">
        <f>D44/#REF!</f>
        <v>#REF!</v>
      </c>
      <c r="E68" s="77" t="e">
        <f t="shared" si="32"/>
        <v>#DIV/0!</v>
      </c>
      <c r="F68" s="77" t="e">
        <f t="shared" si="32"/>
        <v>#DIV/0!</v>
      </c>
      <c r="G68" s="77" t="e">
        <f t="shared" si="32"/>
        <v>#DIV/0!</v>
      </c>
      <c r="H68" s="77" t="e">
        <f t="shared" si="32"/>
        <v>#DIV/0!</v>
      </c>
      <c r="I68" s="77" t="e">
        <f t="shared" si="32"/>
        <v>#DIV/0!</v>
      </c>
      <c r="J68" s="77" t="e">
        <f t="shared" si="32"/>
        <v>#DIV/0!</v>
      </c>
      <c r="K68" s="77" t="e">
        <f t="shared" si="32"/>
        <v>#DIV/0!</v>
      </c>
      <c r="L68" s="98" t="e">
        <f t="shared" si="27"/>
        <v>#DIV/0!</v>
      </c>
      <c r="M68" s="98" t="e">
        <f t="shared" si="28"/>
        <v>#DIV/0!</v>
      </c>
      <c r="N68" s="105" t="e">
        <f t="shared" si="29"/>
        <v>#DIV/0!</v>
      </c>
      <c r="O68" s="105" t="e">
        <f t="shared" si="30"/>
        <v>#DIV/0!</v>
      </c>
      <c r="P68" s="105" t="e">
        <f t="shared" si="31"/>
        <v>#DIV/0!</v>
      </c>
      <c r="Q68" s="105" t="e">
        <f t="shared" si="31"/>
        <v>#DIV/0!</v>
      </c>
      <c r="R68" s="105" t="e">
        <f t="shared" si="31"/>
        <v>#DIV/0!</v>
      </c>
      <c r="S68" s="105" t="e">
        <f t="shared" si="31"/>
        <v>#DIV/0!</v>
      </c>
      <c r="T68" s="105" t="e">
        <f t="shared" si="31"/>
        <v>#DIV/0!</v>
      </c>
      <c r="U68" s="105" t="e">
        <f t="shared" si="31"/>
        <v>#DIV/0!</v>
      </c>
      <c r="V68" s="105" t="e">
        <f t="shared" si="31"/>
        <v>#DIV/0!</v>
      </c>
      <c r="W68" s="105" t="e">
        <f t="shared" si="31"/>
        <v>#DIV/0!</v>
      </c>
      <c r="X68" s="96"/>
    </row>
    <row r="69" spans="1:24" outlineLevel="1">
      <c r="A69" s="72" t="s">
        <v>53</v>
      </c>
      <c r="B69" s="95"/>
      <c r="C69" s="73"/>
      <c r="D69" s="77" t="e">
        <f>D45/#REF!</f>
        <v>#REF!</v>
      </c>
      <c r="E69" s="77" t="e">
        <f t="shared" si="32"/>
        <v>#DIV/0!</v>
      </c>
      <c r="F69" s="77" t="e">
        <f t="shared" si="32"/>
        <v>#DIV/0!</v>
      </c>
      <c r="G69" s="77" t="e">
        <f t="shared" si="32"/>
        <v>#DIV/0!</v>
      </c>
      <c r="H69" s="77">
        <f t="shared" si="32"/>
        <v>-0.14606303511306978</v>
      </c>
      <c r="I69" s="77">
        <f t="shared" si="32"/>
        <v>0.15508902633523669</v>
      </c>
      <c r="J69" s="77">
        <f t="shared" si="32"/>
        <v>-5.7159099711164875E-4</v>
      </c>
      <c r="K69" s="77">
        <f t="shared" si="32"/>
        <v>4.3982337855043623E-2</v>
      </c>
      <c r="L69" s="98" t="e">
        <f t="shared" si="27"/>
        <v>#DIV/0!</v>
      </c>
      <c r="M69" s="98" t="e">
        <f t="shared" si="28"/>
        <v>#DIV/0!</v>
      </c>
      <c r="N69" s="105">
        <f t="shared" si="29"/>
        <v>1.914977062460554</v>
      </c>
      <c r="O69" s="105" t="e">
        <f t="shared" si="30"/>
        <v>#DIV/0!</v>
      </c>
      <c r="P69" s="105" t="e">
        <f t="shared" si="31"/>
        <v>#DIV/0!</v>
      </c>
      <c r="Q69" s="105" t="e">
        <f t="shared" si="31"/>
        <v>#DIV/0!</v>
      </c>
      <c r="R69" s="105" t="e">
        <f t="shared" si="31"/>
        <v>#DIV/0!</v>
      </c>
      <c r="S69" s="105" t="e">
        <f t="shared" si="31"/>
        <v>#DIV/0!</v>
      </c>
      <c r="T69" s="105" t="e">
        <f t="shared" si="31"/>
        <v>#DIV/0!</v>
      </c>
      <c r="U69" s="105" t="e">
        <f t="shared" si="31"/>
        <v>#DIV/0!</v>
      </c>
      <c r="V69" s="105" t="e">
        <f t="shared" si="31"/>
        <v>#DIV/0!</v>
      </c>
      <c r="W69" s="105" t="e">
        <f t="shared" si="31"/>
        <v>#DIV/0!</v>
      </c>
      <c r="X69" s="96"/>
    </row>
    <row r="70" spans="1:24" outlineLevel="1">
      <c r="A70" s="72" t="s">
        <v>42</v>
      </c>
      <c r="B70" s="95"/>
      <c r="C70" s="73"/>
      <c r="D70" s="77" t="e">
        <f>D46/#REF!</f>
        <v>#REF!</v>
      </c>
      <c r="E70" s="77" t="e">
        <f t="shared" si="32"/>
        <v>#DIV/0!</v>
      </c>
      <c r="F70" s="77" t="e">
        <f t="shared" si="32"/>
        <v>#DIV/0!</v>
      </c>
      <c r="G70" s="77">
        <f t="shared" si="32"/>
        <v>4.0891710371279505E-2</v>
      </c>
      <c r="H70" s="77">
        <f t="shared" si="32"/>
        <v>1.5746574583272603E-2</v>
      </c>
      <c r="I70" s="77">
        <f t="shared" si="32"/>
        <v>-4.0006358398886419E-3</v>
      </c>
      <c r="J70" s="77">
        <f t="shared" si="32"/>
        <v>0.17074275401390146</v>
      </c>
      <c r="K70" s="77">
        <f t="shared" si="32"/>
        <v>-0.15561834737454108</v>
      </c>
      <c r="L70" s="98" t="e">
        <f t="shared" si="27"/>
        <v>#DIV/0!</v>
      </c>
      <c r="M70" s="98" t="e">
        <f t="shared" si="28"/>
        <v>#DIV/0!</v>
      </c>
      <c r="N70" s="105">
        <f t="shared" si="29"/>
        <v>1.999691279515506</v>
      </c>
      <c r="O70" s="105" t="e">
        <f t="shared" si="30"/>
        <v>#DIV/0!</v>
      </c>
      <c r="P70" s="105" t="e">
        <f t="shared" ref="P70:W74" si="33">O70</f>
        <v>#DIV/0!</v>
      </c>
      <c r="Q70" s="105" t="e">
        <f t="shared" si="33"/>
        <v>#DIV/0!</v>
      </c>
      <c r="R70" s="105" t="e">
        <f t="shared" si="33"/>
        <v>#DIV/0!</v>
      </c>
      <c r="S70" s="105" t="e">
        <f t="shared" si="33"/>
        <v>#DIV/0!</v>
      </c>
      <c r="T70" s="105" t="e">
        <f t="shared" si="33"/>
        <v>#DIV/0!</v>
      </c>
      <c r="U70" s="105" t="e">
        <f t="shared" si="33"/>
        <v>#DIV/0!</v>
      </c>
      <c r="V70" s="105" t="e">
        <f t="shared" si="33"/>
        <v>#DIV/0!</v>
      </c>
      <c r="W70" s="105" t="e">
        <f t="shared" si="33"/>
        <v>#DIV/0!</v>
      </c>
      <c r="X70" s="96"/>
    </row>
    <row r="71" spans="1:24" outlineLevel="1">
      <c r="A71" s="72" t="s">
        <v>54</v>
      </c>
      <c r="B71" s="95"/>
      <c r="C71" s="73"/>
      <c r="D71" s="77" t="e">
        <f>D47/#REF!</f>
        <v>#REF!</v>
      </c>
      <c r="E71" s="77" t="e">
        <f t="shared" si="32"/>
        <v>#DIV/0!</v>
      </c>
      <c r="F71" s="77">
        <f t="shared" si="32"/>
        <v>1.0570728609019146E-2</v>
      </c>
      <c r="G71" s="77">
        <f t="shared" si="32"/>
        <v>1.481341189674523E-2</v>
      </c>
      <c r="H71" s="77">
        <f t="shared" si="32"/>
        <v>-3.1755463054997587E-2</v>
      </c>
      <c r="I71" s="77">
        <f t="shared" si="32"/>
        <v>5.2673630802566119E-3</v>
      </c>
      <c r="J71" s="77">
        <f t="shared" si="32"/>
        <v>4.3720464903300435E-2</v>
      </c>
      <c r="K71" s="77">
        <f t="shared" si="32"/>
        <v>2.6602066624372908E-2</v>
      </c>
      <c r="L71" s="98">
        <f t="shared" si="27"/>
        <v>8.5233010868647659E-3</v>
      </c>
      <c r="M71" s="98">
        <f t="shared" si="28"/>
        <v>1.2692070252882187E-2</v>
      </c>
      <c r="N71" s="105">
        <f t="shared" si="29"/>
        <v>6.6011937821526517E-3</v>
      </c>
      <c r="O71" s="105">
        <f t="shared" si="30"/>
        <v>1.2692070252882187E-2</v>
      </c>
      <c r="P71" s="105">
        <f t="shared" si="33"/>
        <v>1.2692070252882187E-2</v>
      </c>
      <c r="Q71" s="105">
        <f t="shared" si="33"/>
        <v>1.2692070252882187E-2</v>
      </c>
      <c r="R71" s="105">
        <f t="shared" si="33"/>
        <v>1.2692070252882187E-2</v>
      </c>
      <c r="S71" s="105">
        <f t="shared" si="33"/>
        <v>1.2692070252882187E-2</v>
      </c>
      <c r="T71" s="105">
        <f t="shared" si="33"/>
        <v>1.2692070252882187E-2</v>
      </c>
      <c r="U71" s="105">
        <f t="shared" si="33"/>
        <v>1.2692070252882187E-2</v>
      </c>
      <c r="V71" s="105">
        <f t="shared" si="33"/>
        <v>1.2692070252882187E-2</v>
      </c>
      <c r="W71" s="105">
        <f t="shared" si="33"/>
        <v>1.2692070252882187E-2</v>
      </c>
      <c r="X71" s="96"/>
    </row>
    <row r="72" spans="1:24" outlineLevel="1">
      <c r="A72" s="72" t="s">
        <v>438</v>
      </c>
      <c r="B72" s="95"/>
      <c r="C72" s="73"/>
      <c r="D72" s="77" t="e">
        <f>D48/#REF!</f>
        <v>#REF!</v>
      </c>
      <c r="E72" s="77" t="e">
        <f t="shared" ref="E72:K73" si="34">E48/D25</f>
        <v>#DIV/0!</v>
      </c>
      <c r="F72" s="77" t="e">
        <f t="shared" si="34"/>
        <v>#DIV/0!</v>
      </c>
      <c r="G72" s="77" t="e">
        <f t="shared" si="34"/>
        <v>#DIV/0!</v>
      </c>
      <c r="H72" s="77" t="e">
        <f t="shared" si="34"/>
        <v>#DIV/0!</v>
      </c>
      <c r="I72" s="77" t="e">
        <f t="shared" si="34"/>
        <v>#DIV/0!</v>
      </c>
      <c r="J72" s="77" t="e">
        <f t="shared" si="34"/>
        <v>#DIV/0!</v>
      </c>
      <c r="K72" s="77" t="e">
        <f t="shared" si="34"/>
        <v>#DIV/0!</v>
      </c>
      <c r="L72" s="98" t="e">
        <f t="shared" si="27"/>
        <v>#DIV/0!</v>
      </c>
      <c r="M72" s="98" t="e">
        <f t="shared" si="28"/>
        <v>#DIV/0!</v>
      </c>
      <c r="N72" s="105" t="e">
        <f t="shared" si="29"/>
        <v>#DIV/0!</v>
      </c>
      <c r="O72" s="105" t="e">
        <f t="shared" si="30"/>
        <v>#DIV/0!</v>
      </c>
      <c r="P72" s="105" t="e">
        <f t="shared" si="33"/>
        <v>#DIV/0!</v>
      </c>
      <c r="Q72" s="105" t="e">
        <f t="shared" si="33"/>
        <v>#DIV/0!</v>
      </c>
      <c r="R72" s="105" t="e">
        <f t="shared" si="33"/>
        <v>#DIV/0!</v>
      </c>
      <c r="S72" s="105" t="e">
        <f t="shared" si="33"/>
        <v>#DIV/0!</v>
      </c>
      <c r="T72" s="105" t="e">
        <f t="shared" si="33"/>
        <v>#DIV/0!</v>
      </c>
      <c r="U72" s="105" t="e">
        <f t="shared" si="33"/>
        <v>#DIV/0!</v>
      </c>
      <c r="V72" s="105" t="e">
        <f t="shared" si="33"/>
        <v>#DIV/0!</v>
      </c>
      <c r="W72" s="105" t="e">
        <f t="shared" si="33"/>
        <v>#DIV/0!</v>
      </c>
      <c r="X72" s="96"/>
    </row>
    <row r="73" spans="1:24" outlineLevel="1">
      <c r="A73" s="72"/>
      <c r="B73" s="95"/>
      <c r="C73" s="73"/>
      <c r="D73" s="77" t="e">
        <f>D49/#REF!</f>
        <v>#REF!</v>
      </c>
      <c r="E73" s="77" t="e">
        <f t="shared" si="34"/>
        <v>#DIV/0!</v>
      </c>
      <c r="F73" s="77">
        <f t="shared" si="34"/>
        <v>1.1595971761281406E-2</v>
      </c>
      <c r="G73" s="77">
        <f t="shared" si="34"/>
        <v>-1.1604444795911576E-3</v>
      </c>
      <c r="H73" s="77">
        <f t="shared" si="34"/>
        <v>-3.1424310230303988E-2</v>
      </c>
      <c r="I73" s="77">
        <f t="shared" si="34"/>
        <v>-4.7967985001899317E-3</v>
      </c>
      <c r="J73" s="77">
        <f t="shared" si="34"/>
        <v>6.8111405622648863E-2</v>
      </c>
      <c r="K73" s="77">
        <f t="shared" si="34"/>
        <v>-0.99808021927883706</v>
      </c>
      <c r="L73" s="98">
        <f t="shared" si="27"/>
        <v>8.4651648347690376E-3</v>
      </c>
      <c r="M73" s="98">
        <f t="shared" si="28"/>
        <v>5.2177636408451238E-3</v>
      </c>
      <c r="N73" s="105">
        <f t="shared" si="29"/>
        <v>515.36158587819773</v>
      </c>
      <c r="O73" s="105">
        <f t="shared" si="30"/>
        <v>5.2177636408451238E-3</v>
      </c>
      <c r="P73" s="105">
        <f t="shared" si="33"/>
        <v>5.2177636408451238E-3</v>
      </c>
      <c r="Q73" s="105">
        <f t="shared" si="33"/>
        <v>5.2177636408451238E-3</v>
      </c>
      <c r="R73" s="105">
        <f t="shared" si="33"/>
        <v>5.2177636408451238E-3</v>
      </c>
      <c r="S73" s="105">
        <f t="shared" si="33"/>
        <v>5.2177636408451238E-3</v>
      </c>
      <c r="T73" s="105">
        <f t="shared" si="33"/>
        <v>5.2177636408451238E-3</v>
      </c>
      <c r="U73" s="105">
        <f t="shared" si="33"/>
        <v>5.2177636408451238E-3</v>
      </c>
      <c r="V73" s="105">
        <f t="shared" si="33"/>
        <v>5.2177636408451238E-3</v>
      </c>
      <c r="W73" s="105">
        <f t="shared" si="33"/>
        <v>5.2177636408451238E-3</v>
      </c>
      <c r="X73" s="96"/>
    </row>
    <row r="74" spans="1:24" s="159" customFormat="1">
      <c r="A74" s="74" t="s">
        <v>203</v>
      </c>
      <c r="B74" s="74"/>
      <c r="C74" s="75"/>
      <c r="D74" s="78" t="e">
        <f>D50/#REF!</f>
        <v>#REF!</v>
      </c>
      <c r="E74" s="78" t="e">
        <f t="shared" ref="E74:K74" si="35">E50/D26</f>
        <v>#DIV/0!</v>
      </c>
      <c r="F74" s="78">
        <f t="shared" si="35"/>
        <v>2.3191943522562701E-2</v>
      </c>
      <c r="G74" s="78">
        <f t="shared" si="35"/>
        <v>-2.3208889591823149E-3</v>
      </c>
      <c r="H74" s="78">
        <f t="shared" si="35"/>
        <v>-6.2848620460607782E-2</v>
      </c>
      <c r="I74" s="78">
        <f t="shared" si="35"/>
        <v>-9.5935970003799553E-3</v>
      </c>
      <c r="J74" s="78">
        <f t="shared" si="35"/>
        <v>0.13622281124529773</v>
      </c>
      <c r="K74" s="78">
        <f t="shared" si="35"/>
        <v>-1.9961604385576741</v>
      </c>
      <c r="L74" s="98">
        <f>AVERAGE(F74:J74)</f>
        <v>1.6930329669538075E-2</v>
      </c>
      <c r="M74" s="98">
        <f>AVERAGE(F74:G74)</f>
        <v>1.0435527281690194E-2</v>
      </c>
      <c r="N74" s="105">
        <f>N50/K26</f>
        <v>515.36158587819773</v>
      </c>
      <c r="O74" s="105">
        <f>M74</f>
        <v>1.0435527281690194E-2</v>
      </c>
      <c r="P74" s="105">
        <f t="shared" si="33"/>
        <v>1.0435527281690194E-2</v>
      </c>
      <c r="Q74" s="105">
        <f t="shared" si="33"/>
        <v>1.0435527281690194E-2</v>
      </c>
      <c r="R74" s="105">
        <f t="shared" si="33"/>
        <v>1.0435527281690194E-2</v>
      </c>
      <c r="S74" s="105">
        <f t="shared" si="33"/>
        <v>1.0435527281690194E-2</v>
      </c>
      <c r="T74" s="105">
        <f t="shared" si="33"/>
        <v>1.0435527281690194E-2</v>
      </c>
      <c r="U74" s="105">
        <f t="shared" si="33"/>
        <v>1.0435527281690194E-2</v>
      </c>
      <c r="V74" s="105">
        <f t="shared" si="33"/>
        <v>1.0435527281690194E-2</v>
      </c>
      <c r="W74" s="105">
        <f t="shared" si="33"/>
        <v>1.0435527281690194E-2</v>
      </c>
      <c r="X74" s="106"/>
    </row>
  </sheetData>
  <mergeCells count="3">
    <mergeCell ref="C5:J5"/>
    <mergeCell ref="C28:J28"/>
    <mergeCell ref="C52:J52"/>
  </mergeCells>
  <pageMargins left="0.75" right="0.75" top="1" bottom="1" header="0.5" footer="0.5"/>
  <pageSetup orientation="portrait"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42"/>
  <sheetViews>
    <sheetView showGridLines="0" workbookViewId="0">
      <pane xSplit="2" ySplit="5" topLeftCell="C6" activePane="bottomRight" state="frozen"/>
      <selection pane="topRight" activeCell="C1" sqref="C1"/>
      <selection pane="bottomLeft" activeCell="A9" sqref="A9"/>
      <selection pane="bottomRight" activeCell="N6" sqref="N6"/>
    </sheetView>
  </sheetViews>
  <sheetFormatPr defaultColWidth="8.85546875" defaultRowHeight="12" outlineLevelRow="1"/>
  <cols>
    <col min="1" max="1" width="13" style="631" customWidth="1"/>
    <col min="2" max="2" width="17" style="631" customWidth="1"/>
    <col min="3" max="3" width="11.85546875" style="631" customWidth="1"/>
    <col min="4" max="10" width="9.85546875" style="631" bestFit="1" customWidth="1"/>
    <col min="11" max="12" width="9.85546875" style="631" customWidth="1"/>
    <col min="13" max="16384" width="8.85546875" style="631"/>
  </cols>
  <sheetData>
    <row r="1" spans="1:24">
      <c r="A1" s="630"/>
      <c r="B1" s="630"/>
      <c r="C1" s="630"/>
    </row>
    <row r="2" spans="1:24">
      <c r="A2" s="632"/>
      <c r="B2" s="632"/>
    </row>
    <row r="4" spans="1:24">
      <c r="A4" s="603">
        <v>1</v>
      </c>
      <c r="B4" s="603" t="s">
        <v>264</v>
      </c>
      <c r="C4" s="1923" t="s">
        <v>451</v>
      </c>
      <c r="D4" s="1923"/>
      <c r="E4" s="1923"/>
      <c r="F4" s="1923"/>
      <c r="G4" s="1923"/>
      <c r="H4" s="1923"/>
      <c r="I4" s="1923"/>
      <c r="J4" s="1923"/>
      <c r="K4" s="603"/>
      <c r="L4" s="604"/>
      <c r="M4" s="603"/>
      <c r="N4" s="603"/>
      <c r="O4" s="603"/>
      <c r="P4" s="603"/>
      <c r="Q4" s="603"/>
      <c r="R4" s="603"/>
      <c r="S4" s="603"/>
      <c r="T4" s="603"/>
      <c r="U4" s="603"/>
      <c r="V4" s="603"/>
      <c r="W4" s="603"/>
      <c r="X4" s="603"/>
    </row>
    <row r="5" spans="1:24">
      <c r="A5" s="603"/>
      <c r="B5" s="605" t="s">
        <v>357</v>
      </c>
      <c r="C5" s="494">
        <v>2015</v>
      </c>
      <c r="D5" s="494" t="s">
        <v>303</v>
      </c>
      <c r="E5" s="494" t="s">
        <v>304</v>
      </c>
      <c r="F5" s="494" t="s">
        <v>305</v>
      </c>
      <c r="G5" s="494" t="s">
        <v>306</v>
      </c>
      <c r="H5" s="494" t="s">
        <v>307</v>
      </c>
      <c r="I5" s="494" t="s">
        <v>308</v>
      </c>
      <c r="J5" s="494" t="s">
        <v>309</v>
      </c>
      <c r="K5" s="494" t="s">
        <v>340</v>
      </c>
      <c r="L5" s="494" t="s">
        <v>355</v>
      </c>
      <c r="M5" s="494" t="s">
        <v>356</v>
      </c>
      <c r="N5" s="494" t="s">
        <v>341</v>
      </c>
      <c r="O5" s="494" t="s">
        <v>342</v>
      </c>
      <c r="P5" s="494" t="s">
        <v>343</v>
      </c>
      <c r="Q5" s="494" t="s">
        <v>344</v>
      </c>
      <c r="R5" s="494" t="s">
        <v>345</v>
      </c>
      <c r="S5" s="494" t="s">
        <v>346</v>
      </c>
      <c r="T5" s="494" t="s">
        <v>347</v>
      </c>
      <c r="U5" s="494" t="s">
        <v>348</v>
      </c>
      <c r="V5" s="494" t="s">
        <v>349</v>
      </c>
      <c r="W5" s="494" t="s">
        <v>350</v>
      </c>
      <c r="X5" s="494" t="s">
        <v>353</v>
      </c>
    </row>
    <row r="6" spans="1:24" ht="12" customHeight="1">
      <c r="A6" s="603" t="s">
        <v>16</v>
      </c>
      <c r="B6" s="606"/>
      <c r="C6" s="607">
        <f>'DM_09_MHD počet cest.'!J6*'DM_13_MHD tržby'!$C$118</f>
        <v>86672668.486351073</v>
      </c>
      <c r="D6" s="607">
        <f>'DM_09_MHD počet cest.'!K6*'DM_13_MHD tržby'!$C$118</f>
        <v>86187763.10514231</v>
      </c>
      <c r="E6" s="607">
        <f>'DM_09_MHD počet cest.'!L6*'DM_13_MHD tržby'!$C$118</f>
        <v>85218409.154200271</v>
      </c>
      <c r="F6" s="607">
        <f>'DM_09_MHD počet cest.'!M6*'DM_13_MHD tržby'!$C$118</f>
        <v>85617662.383758873</v>
      </c>
      <c r="G6" s="607">
        <f>'DM_09_MHD počet cest.'!N6*'DM_13_MHD tržby'!$C$118</f>
        <v>87402196.412672669</v>
      </c>
      <c r="H6" s="607">
        <f>'DM_09_MHD počet cest.'!O6*'DM_13_MHD tržby'!$C$118</f>
        <v>64847358.217202477</v>
      </c>
      <c r="I6" s="607">
        <f>'DM_09_MHD počet cest.'!P6*'DM_13_MHD tržby'!$C$118</f>
        <v>59261924.30666133</v>
      </c>
      <c r="J6" s="607">
        <f>'DM_09_MHD počet cest.'!Q6*'DM_13_MHD tržby'!$C$118</f>
        <v>85237823.641907647</v>
      </c>
      <c r="K6" s="607">
        <f>'DM_09_MHD počet cest.'!R6*'DM_13_MHD tržby'!$C$118</f>
        <v>93045383.13345319</v>
      </c>
      <c r="L6" s="494" t="e">
        <v>#DIV/0!</v>
      </c>
      <c r="M6" s="494" t="e">
        <v>#DIV/0!</v>
      </c>
      <c r="N6" s="608">
        <f>K6+K6*$C$136</f>
        <v>92113362.51021637</v>
      </c>
      <c r="O6" s="608">
        <f t="shared" ref="O6:W6" si="0">N6+N6*$C$136</f>
        <v>91190677.787514165</v>
      </c>
      <c r="P6" s="608">
        <f t="shared" si="0"/>
        <v>90277235.449133918</v>
      </c>
      <c r="Q6" s="608">
        <f t="shared" si="0"/>
        <v>89372942.915599838</v>
      </c>
      <c r="R6" s="608">
        <f t="shared" si="0"/>
        <v>88477708.53478983</v>
      </c>
      <c r="S6" s="608">
        <f t="shared" si="0"/>
        <v>87591441.572646365</v>
      </c>
      <c r="T6" s="608">
        <f t="shared" si="0"/>
        <v>86714052.203980327</v>
      </c>
      <c r="U6" s="608">
        <f t="shared" si="0"/>
        <v>85845451.503367096</v>
      </c>
      <c r="V6" s="608">
        <f t="shared" si="0"/>
        <v>84985551.436133683</v>
      </c>
      <c r="W6" s="608">
        <f t="shared" si="0"/>
        <v>84134264.849436268</v>
      </c>
      <c r="X6" s="494"/>
    </row>
    <row r="7" spans="1:24">
      <c r="A7" s="494" t="s">
        <v>40</v>
      </c>
      <c r="B7" s="609"/>
      <c r="C7" s="610"/>
      <c r="D7" s="611"/>
      <c r="E7" s="611"/>
      <c r="F7" s="611"/>
      <c r="G7" s="611"/>
      <c r="H7" s="611"/>
      <c r="I7" s="611"/>
      <c r="J7" s="611"/>
      <c r="K7" s="611"/>
      <c r="L7" s="611" t="e">
        <f t="shared" ref="L7:L24" si="1">AVERAGE(E7:J7)</f>
        <v>#DIV/0!</v>
      </c>
      <c r="M7" s="611" t="e">
        <f t="shared" ref="M7:M24" si="2">AVERAGE(E7:G7)</f>
        <v>#DIV/0!</v>
      </c>
      <c r="N7" s="611">
        <f>G7+(G7*M30)</f>
        <v>0</v>
      </c>
      <c r="O7" s="611" t="e">
        <f t="shared" ref="O7:O24" si="3">N7+(N7*M54)</f>
        <v>#DIV/0!</v>
      </c>
      <c r="P7" s="611" t="e">
        <f t="shared" ref="P7:P24" si="4">O7+(O7*N54)</f>
        <v>#DIV/0!</v>
      </c>
      <c r="Q7" s="611" t="e">
        <f t="shared" ref="Q7:Q24" si="5">P7+(P7*O54)</f>
        <v>#DIV/0!</v>
      </c>
      <c r="R7" s="611" t="e">
        <f t="shared" ref="R7:R24" si="6">Q7+(Q7*P54)</f>
        <v>#DIV/0!</v>
      </c>
      <c r="S7" s="611" t="e">
        <f t="shared" ref="S7:S24" si="7">R7+(R7*Q54)</f>
        <v>#DIV/0!</v>
      </c>
      <c r="T7" s="611" t="e">
        <f t="shared" ref="T7:T24" si="8">S7+(S7*R54)</f>
        <v>#DIV/0!</v>
      </c>
      <c r="U7" s="611" t="e">
        <f t="shared" ref="U7:U24" si="9">T7+(T7*S54)</f>
        <v>#DIV/0!</v>
      </c>
      <c r="V7" s="611" t="e">
        <f t="shared" ref="V7:V24" si="10">U7+(U7*T54)</f>
        <v>#DIV/0!</v>
      </c>
      <c r="W7" s="611" t="e">
        <f t="shared" ref="W7:W24" si="11">V7+(V7*U54)</f>
        <v>#DIV/0!</v>
      </c>
      <c r="X7" s="611"/>
    </row>
    <row r="8" spans="1:24">
      <c r="A8" s="494" t="s">
        <v>59</v>
      </c>
      <c r="B8" s="612"/>
      <c r="C8" s="610"/>
      <c r="D8" s="611"/>
      <c r="E8" s="613">
        <v>348617.45999999996</v>
      </c>
      <c r="F8" s="613">
        <v>341172.52</v>
      </c>
      <c r="G8" s="613">
        <v>340274.13000000006</v>
      </c>
      <c r="H8" s="613">
        <v>232852.21000000005</v>
      </c>
      <c r="I8" s="613">
        <v>226641.18000000002</v>
      </c>
      <c r="J8" s="613">
        <v>276462.18</v>
      </c>
      <c r="K8" s="613">
        <v>365777</v>
      </c>
      <c r="L8" s="611">
        <f t="shared" si="1"/>
        <v>294336.61333333334</v>
      </c>
      <c r="M8" s="611">
        <f t="shared" si="2"/>
        <v>343354.70333333337</v>
      </c>
      <c r="N8" s="611">
        <f>K8+K8*0.01</f>
        <v>369434.77</v>
      </c>
      <c r="O8" s="611">
        <f t="shared" si="3"/>
        <v>365003.61109908437</v>
      </c>
      <c r="P8" s="611">
        <f t="shared" si="4"/>
        <v>368653.64721007523</v>
      </c>
      <c r="Q8" s="611">
        <f t="shared" si="5"/>
        <v>364231.85743054276</v>
      </c>
      <c r="R8" s="611">
        <f t="shared" si="6"/>
        <v>359863.1044919648</v>
      </c>
      <c r="S8" s="611">
        <f t="shared" si="7"/>
        <v>355546.75224774942</v>
      </c>
      <c r="T8" s="611">
        <f t="shared" si="8"/>
        <v>351282.17218151945</v>
      </c>
      <c r="U8" s="611">
        <f t="shared" si="9"/>
        <v>347068.74331559241</v>
      </c>
      <c r="V8" s="611">
        <f t="shared" si="10"/>
        <v>342905.85212055821</v>
      </c>
      <c r="W8" s="611">
        <f t="shared" si="11"/>
        <v>338792.8924259413</v>
      </c>
      <c r="X8" s="611"/>
    </row>
    <row r="9" spans="1:24">
      <c r="A9" s="494" t="s">
        <v>43</v>
      </c>
      <c r="B9" s="612" t="s">
        <v>983</v>
      </c>
      <c r="C9" s="613">
        <v>42937000</v>
      </c>
      <c r="D9" s="613">
        <v>44646000</v>
      </c>
      <c r="E9" s="613">
        <v>44818000</v>
      </c>
      <c r="F9" s="613">
        <v>44245000</v>
      </c>
      <c r="G9" s="613">
        <v>44138000</v>
      </c>
      <c r="H9" s="613">
        <v>29121000</v>
      </c>
      <c r="I9" s="613">
        <v>25898000</v>
      </c>
      <c r="J9" s="613">
        <v>34354000</v>
      </c>
      <c r="K9" s="611"/>
      <c r="L9" s="611">
        <f t="shared" si="1"/>
        <v>37095666.666666664</v>
      </c>
      <c r="M9" s="611">
        <f t="shared" si="2"/>
        <v>44400333.333333336</v>
      </c>
      <c r="N9" s="611">
        <f t="shared" ref="N9:N24" si="12">G9+(4*M32)</f>
        <v>42778000</v>
      </c>
      <c r="O9" s="611">
        <f t="shared" si="3"/>
        <v>42452814.604012065</v>
      </c>
      <c r="P9" s="611" t="e">
        <f t="shared" si="4"/>
        <v>#DIV/0!</v>
      </c>
      <c r="Q9" s="611" t="e">
        <f t="shared" si="5"/>
        <v>#DIV/0!</v>
      </c>
      <c r="R9" s="611" t="e">
        <f t="shared" si="6"/>
        <v>#DIV/0!</v>
      </c>
      <c r="S9" s="611" t="e">
        <f t="shared" si="7"/>
        <v>#DIV/0!</v>
      </c>
      <c r="T9" s="611" t="e">
        <f t="shared" si="8"/>
        <v>#DIV/0!</v>
      </c>
      <c r="U9" s="611" t="e">
        <f t="shared" si="9"/>
        <v>#DIV/0!</v>
      </c>
      <c r="V9" s="611" t="e">
        <f t="shared" si="10"/>
        <v>#DIV/0!</v>
      </c>
      <c r="W9" s="611" t="e">
        <f t="shared" si="11"/>
        <v>#DIV/0!</v>
      </c>
      <c r="X9" s="611"/>
    </row>
    <row r="10" spans="1:24">
      <c r="A10" s="494" t="s">
        <v>44</v>
      </c>
      <c r="B10" s="612"/>
      <c r="C10" s="610"/>
      <c r="D10" s="611"/>
      <c r="E10" s="611"/>
      <c r="F10" s="611"/>
      <c r="G10" s="611"/>
      <c r="H10" s="611"/>
      <c r="I10" s="611"/>
      <c r="J10" s="611"/>
      <c r="K10" s="611"/>
      <c r="L10" s="611" t="e">
        <f t="shared" si="1"/>
        <v>#DIV/0!</v>
      </c>
      <c r="M10" s="611" t="e">
        <f t="shared" si="2"/>
        <v>#DIV/0!</v>
      </c>
      <c r="N10" s="611">
        <f t="shared" si="12"/>
        <v>0</v>
      </c>
      <c r="O10" s="611" t="e">
        <f t="shared" si="3"/>
        <v>#DIV/0!</v>
      </c>
      <c r="P10" s="611" t="e">
        <f t="shared" si="4"/>
        <v>#DIV/0!</v>
      </c>
      <c r="Q10" s="611" t="e">
        <f t="shared" si="5"/>
        <v>#DIV/0!</v>
      </c>
      <c r="R10" s="611" t="e">
        <f t="shared" si="6"/>
        <v>#DIV/0!</v>
      </c>
      <c r="S10" s="611" t="e">
        <f t="shared" si="7"/>
        <v>#DIV/0!</v>
      </c>
      <c r="T10" s="611" t="e">
        <f t="shared" si="8"/>
        <v>#DIV/0!</v>
      </c>
      <c r="U10" s="611" t="e">
        <f t="shared" si="9"/>
        <v>#DIV/0!</v>
      </c>
      <c r="V10" s="611" t="e">
        <f t="shared" si="10"/>
        <v>#DIV/0!</v>
      </c>
      <c r="W10" s="611" t="e">
        <f t="shared" si="11"/>
        <v>#DIV/0!</v>
      </c>
      <c r="X10" s="611"/>
    </row>
    <row r="11" spans="1:24">
      <c r="A11" s="494" t="s">
        <v>57</v>
      </c>
      <c r="B11" s="612"/>
      <c r="C11" s="610"/>
      <c r="D11" s="611"/>
      <c r="E11" s="611"/>
      <c r="F11" s="611"/>
      <c r="G11" s="611"/>
      <c r="H11" s="611"/>
      <c r="I11" s="611"/>
      <c r="J11" s="611"/>
      <c r="K11" s="611"/>
      <c r="L11" s="611" t="e">
        <f t="shared" si="1"/>
        <v>#DIV/0!</v>
      </c>
      <c r="M11" s="611" t="e">
        <f t="shared" si="2"/>
        <v>#DIV/0!</v>
      </c>
      <c r="N11" s="611">
        <f t="shared" si="12"/>
        <v>0</v>
      </c>
      <c r="O11" s="611" t="e">
        <f t="shared" si="3"/>
        <v>#DIV/0!</v>
      </c>
      <c r="P11" s="611" t="e">
        <f t="shared" si="4"/>
        <v>#DIV/0!</v>
      </c>
      <c r="Q11" s="611" t="e">
        <f t="shared" si="5"/>
        <v>#DIV/0!</v>
      </c>
      <c r="R11" s="611" t="e">
        <f t="shared" si="6"/>
        <v>#DIV/0!</v>
      </c>
      <c r="S11" s="611" t="e">
        <f t="shared" si="7"/>
        <v>#DIV/0!</v>
      </c>
      <c r="T11" s="611" t="e">
        <f t="shared" si="8"/>
        <v>#DIV/0!</v>
      </c>
      <c r="U11" s="611" t="e">
        <f t="shared" si="9"/>
        <v>#DIV/0!</v>
      </c>
      <c r="V11" s="611" t="e">
        <f t="shared" si="10"/>
        <v>#DIV/0!</v>
      </c>
      <c r="W11" s="611" t="e">
        <f t="shared" si="11"/>
        <v>#DIV/0!</v>
      </c>
      <c r="X11" s="611"/>
    </row>
    <row r="12" spans="1:24">
      <c r="A12" s="494" t="s">
        <v>55</v>
      </c>
      <c r="B12" s="612"/>
      <c r="C12" s="610"/>
      <c r="D12" s="611"/>
      <c r="E12" s="611"/>
      <c r="F12" s="611"/>
      <c r="G12" s="611"/>
      <c r="H12" s="611"/>
      <c r="I12" s="611"/>
      <c r="J12" s="613">
        <v>1577708.89</v>
      </c>
      <c r="K12" s="613">
        <v>1706690.18</v>
      </c>
      <c r="L12" s="611">
        <f t="shared" si="1"/>
        <v>1577708.89</v>
      </c>
      <c r="M12" s="611" t="e">
        <f t="shared" si="2"/>
        <v>#DIV/0!</v>
      </c>
      <c r="N12" s="611">
        <f t="shared" si="12"/>
        <v>0</v>
      </c>
      <c r="O12" s="611" t="e">
        <f t="shared" si="3"/>
        <v>#DIV/0!</v>
      </c>
      <c r="P12" s="611" t="e">
        <f t="shared" si="4"/>
        <v>#DIV/0!</v>
      </c>
      <c r="Q12" s="611" t="e">
        <f t="shared" si="5"/>
        <v>#DIV/0!</v>
      </c>
      <c r="R12" s="611" t="e">
        <f t="shared" si="6"/>
        <v>#DIV/0!</v>
      </c>
      <c r="S12" s="611" t="e">
        <f t="shared" si="7"/>
        <v>#DIV/0!</v>
      </c>
      <c r="T12" s="611" t="e">
        <f t="shared" si="8"/>
        <v>#DIV/0!</v>
      </c>
      <c r="U12" s="611" t="e">
        <f t="shared" si="9"/>
        <v>#DIV/0!</v>
      </c>
      <c r="V12" s="611" t="e">
        <f t="shared" si="10"/>
        <v>#DIV/0!</v>
      </c>
      <c r="W12" s="611" t="e">
        <f t="shared" si="11"/>
        <v>#DIV/0!</v>
      </c>
      <c r="X12" s="611"/>
    </row>
    <row r="13" spans="1:24">
      <c r="A13" s="494" t="s">
        <v>45</v>
      </c>
      <c r="B13" s="612"/>
      <c r="C13" s="610"/>
      <c r="D13" s="611"/>
      <c r="E13" s="611"/>
      <c r="F13" s="611"/>
      <c r="G13" s="611"/>
      <c r="H13" s="611"/>
      <c r="I13" s="611"/>
      <c r="J13" s="613">
        <v>2438659.2999999998</v>
      </c>
      <c r="K13" s="611"/>
      <c r="L13" s="611">
        <f t="shared" si="1"/>
        <v>2438659.2999999998</v>
      </c>
      <c r="M13" s="611" t="e">
        <f t="shared" si="2"/>
        <v>#DIV/0!</v>
      </c>
      <c r="N13" s="611">
        <f t="shared" si="12"/>
        <v>0</v>
      </c>
      <c r="O13" s="611" t="e">
        <f t="shared" si="3"/>
        <v>#DIV/0!</v>
      </c>
      <c r="P13" s="611" t="e">
        <f t="shared" si="4"/>
        <v>#DIV/0!</v>
      </c>
      <c r="Q13" s="611" t="e">
        <f t="shared" si="5"/>
        <v>#DIV/0!</v>
      </c>
      <c r="R13" s="611" t="e">
        <f t="shared" si="6"/>
        <v>#DIV/0!</v>
      </c>
      <c r="S13" s="611" t="e">
        <f t="shared" si="7"/>
        <v>#DIV/0!</v>
      </c>
      <c r="T13" s="611" t="e">
        <f t="shared" si="8"/>
        <v>#DIV/0!</v>
      </c>
      <c r="U13" s="611" t="e">
        <f t="shared" si="9"/>
        <v>#DIV/0!</v>
      </c>
      <c r="V13" s="611" t="e">
        <f t="shared" si="10"/>
        <v>#DIV/0!</v>
      </c>
      <c r="W13" s="611" t="e">
        <f t="shared" si="11"/>
        <v>#DIV/0!</v>
      </c>
      <c r="X13" s="611"/>
    </row>
    <row r="14" spans="1:24" outlineLevel="1">
      <c r="A14" s="494" t="s">
        <v>48</v>
      </c>
      <c r="B14" s="612"/>
      <c r="C14" s="611"/>
      <c r="D14" s="611"/>
      <c r="E14" s="611"/>
      <c r="F14" s="611"/>
      <c r="G14" s="611"/>
      <c r="H14" s="611"/>
      <c r="I14" s="611"/>
      <c r="J14" s="611"/>
      <c r="K14" s="611"/>
      <c r="L14" s="611" t="e">
        <f t="shared" si="1"/>
        <v>#DIV/0!</v>
      </c>
      <c r="M14" s="611" t="e">
        <f t="shared" si="2"/>
        <v>#DIV/0!</v>
      </c>
      <c r="N14" s="611">
        <f t="shared" si="12"/>
        <v>0</v>
      </c>
      <c r="O14" s="611" t="e">
        <f t="shared" si="3"/>
        <v>#DIV/0!</v>
      </c>
      <c r="P14" s="611" t="e">
        <f t="shared" si="4"/>
        <v>#DIV/0!</v>
      </c>
      <c r="Q14" s="611" t="e">
        <f t="shared" si="5"/>
        <v>#DIV/0!</v>
      </c>
      <c r="R14" s="611" t="e">
        <f t="shared" si="6"/>
        <v>#DIV/0!</v>
      </c>
      <c r="S14" s="611" t="e">
        <f t="shared" si="7"/>
        <v>#DIV/0!</v>
      </c>
      <c r="T14" s="611" t="e">
        <f t="shared" si="8"/>
        <v>#DIV/0!</v>
      </c>
      <c r="U14" s="611" t="e">
        <f t="shared" si="9"/>
        <v>#DIV/0!</v>
      </c>
      <c r="V14" s="611" t="e">
        <f t="shared" si="10"/>
        <v>#DIV/0!</v>
      </c>
      <c r="W14" s="611" t="e">
        <f t="shared" si="11"/>
        <v>#DIV/0!</v>
      </c>
      <c r="X14" s="603"/>
    </row>
    <row r="15" spans="1:24" outlineLevel="1">
      <c r="A15" s="494" t="s">
        <v>50</v>
      </c>
      <c r="B15" s="612"/>
      <c r="C15" s="611"/>
      <c r="D15" s="611"/>
      <c r="E15" s="611"/>
      <c r="F15" s="611"/>
      <c r="G15" s="611"/>
      <c r="H15" s="611"/>
      <c r="I15" s="611"/>
      <c r="J15" s="613">
        <v>539711.02999999991</v>
      </c>
      <c r="K15" s="613">
        <v>530096.10000000009</v>
      </c>
      <c r="L15" s="611">
        <f t="shared" si="1"/>
        <v>539711.02999999991</v>
      </c>
      <c r="M15" s="611" t="e">
        <f t="shared" si="2"/>
        <v>#DIV/0!</v>
      </c>
      <c r="N15" s="611">
        <f t="shared" si="12"/>
        <v>0</v>
      </c>
      <c r="O15" s="611" t="e">
        <f t="shared" si="3"/>
        <v>#DIV/0!</v>
      </c>
      <c r="P15" s="611" t="e">
        <f t="shared" si="4"/>
        <v>#DIV/0!</v>
      </c>
      <c r="Q15" s="611" t="e">
        <f t="shared" si="5"/>
        <v>#DIV/0!</v>
      </c>
      <c r="R15" s="611" t="e">
        <f t="shared" si="6"/>
        <v>#DIV/0!</v>
      </c>
      <c r="S15" s="611" t="e">
        <f t="shared" si="7"/>
        <v>#DIV/0!</v>
      </c>
      <c r="T15" s="611" t="e">
        <f t="shared" si="8"/>
        <v>#DIV/0!</v>
      </c>
      <c r="U15" s="611" t="e">
        <f t="shared" si="9"/>
        <v>#DIV/0!</v>
      </c>
      <c r="V15" s="611" t="e">
        <f t="shared" si="10"/>
        <v>#DIV/0!</v>
      </c>
      <c r="W15" s="611" t="e">
        <f t="shared" si="11"/>
        <v>#DIV/0!</v>
      </c>
      <c r="X15" s="603"/>
    </row>
    <row r="16" spans="1:24" outlineLevel="1">
      <c r="A16" s="494" t="s">
        <v>47</v>
      </c>
      <c r="B16" s="612"/>
      <c r="C16" s="611"/>
      <c r="D16" s="611"/>
      <c r="E16" s="611"/>
      <c r="F16" s="611"/>
      <c r="G16" s="611"/>
      <c r="H16" s="611"/>
      <c r="I16" s="611"/>
      <c r="J16" s="611"/>
      <c r="K16" s="611"/>
      <c r="L16" s="611" t="e">
        <f t="shared" si="1"/>
        <v>#DIV/0!</v>
      </c>
      <c r="M16" s="611" t="e">
        <f t="shared" si="2"/>
        <v>#DIV/0!</v>
      </c>
      <c r="N16" s="611">
        <f t="shared" si="12"/>
        <v>0</v>
      </c>
      <c r="O16" s="611" t="e">
        <f t="shared" si="3"/>
        <v>#DIV/0!</v>
      </c>
      <c r="P16" s="611" t="e">
        <f t="shared" si="4"/>
        <v>#DIV/0!</v>
      </c>
      <c r="Q16" s="611" t="e">
        <f t="shared" si="5"/>
        <v>#DIV/0!</v>
      </c>
      <c r="R16" s="611" t="e">
        <f t="shared" si="6"/>
        <v>#DIV/0!</v>
      </c>
      <c r="S16" s="611" t="e">
        <f t="shared" si="7"/>
        <v>#DIV/0!</v>
      </c>
      <c r="T16" s="611" t="e">
        <f t="shared" si="8"/>
        <v>#DIV/0!</v>
      </c>
      <c r="U16" s="611" t="e">
        <f t="shared" si="9"/>
        <v>#DIV/0!</v>
      </c>
      <c r="V16" s="611" t="e">
        <f t="shared" si="10"/>
        <v>#DIV/0!</v>
      </c>
      <c r="W16" s="611" t="e">
        <f t="shared" si="11"/>
        <v>#DIV/0!</v>
      </c>
      <c r="X16" s="603"/>
    </row>
    <row r="17" spans="1:24" outlineLevel="1">
      <c r="A17" s="494" t="s">
        <v>52</v>
      </c>
      <c r="B17" s="612"/>
      <c r="C17" s="611"/>
      <c r="D17" s="611"/>
      <c r="E17" s="613">
        <v>930836.97999999975</v>
      </c>
      <c r="F17" s="613">
        <v>887699.27999999991</v>
      </c>
      <c r="G17" s="613">
        <v>873601.6399999999</v>
      </c>
      <c r="H17" s="613">
        <v>574174.67000000027</v>
      </c>
      <c r="I17" s="613">
        <v>556794.92000000004</v>
      </c>
      <c r="J17" s="613">
        <v>679133.66</v>
      </c>
      <c r="K17" s="611"/>
      <c r="L17" s="611">
        <f t="shared" si="1"/>
        <v>750373.52499999991</v>
      </c>
      <c r="M17" s="611">
        <f t="shared" si="2"/>
        <v>897379.29999999981</v>
      </c>
      <c r="N17" s="611">
        <f t="shared" si="12"/>
        <v>759130.9600000002</v>
      </c>
      <c r="O17" s="611">
        <f t="shared" si="3"/>
        <v>735512.87193157151</v>
      </c>
      <c r="P17" s="611" t="e">
        <f t="shared" si="4"/>
        <v>#DIV/0!</v>
      </c>
      <c r="Q17" s="611" t="e">
        <f t="shared" si="5"/>
        <v>#DIV/0!</v>
      </c>
      <c r="R17" s="611" t="e">
        <f t="shared" si="6"/>
        <v>#DIV/0!</v>
      </c>
      <c r="S17" s="611" t="e">
        <f t="shared" si="7"/>
        <v>#DIV/0!</v>
      </c>
      <c r="T17" s="611" t="e">
        <f t="shared" si="8"/>
        <v>#DIV/0!</v>
      </c>
      <c r="U17" s="611" t="e">
        <f t="shared" si="9"/>
        <v>#DIV/0!</v>
      </c>
      <c r="V17" s="611" t="e">
        <f t="shared" si="10"/>
        <v>#DIV/0!</v>
      </c>
      <c r="W17" s="611" t="e">
        <f t="shared" si="11"/>
        <v>#DIV/0!</v>
      </c>
      <c r="X17" s="603"/>
    </row>
    <row r="18" spans="1:24" outlineLevel="1">
      <c r="A18" s="494" t="s">
        <v>60</v>
      </c>
      <c r="B18" s="612"/>
      <c r="C18" s="611"/>
      <c r="D18" s="611"/>
      <c r="E18" s="611"/>
      <c r="F18" s="611"/>
      <c r="G18" s="611"/>
      <c r="H18" s="611"/>
      <c r="I18" s="611"/>
      <c r="J18" s="611"/>
      <c r="K18" s="611"/>
      <c r="L18" s="611" t="e">
        <f t="shared" si="1"/>
        <v>#DIV/0!</v>
      </c>
      <c r="M18" s="611" t="e">
        <f t="shared" si="2"/>
        <v>#DIV/0!</v>
      </c>
      <c r="N18" s="611">
        <f t="shared" si="12"/>
        <v>0</v>
      </c>
      <c r="O18" s="611" t="e">
        <f t="shared" si="3"/>
        <v>#DIV/0!</v>
      </c>
      <c r="P18" s="611" t="e">
        <f t="shared" si="4"/>
        <v>#DIV/0!</v>
      </c>
      <c r="Q18" s="611" t="e">
        <f t="shared" si="5"/>
        <v>#DIV/0!</v>
      </c>
      <c r="R18" s="611" t="e">
        <f t="shared" si="6"/>
        <v>#DIV/0!</v>
      </c>
      <c r="S18" s="611" t="e">
        <f t="shared" si="7"/>
        <v>#DIV/0!</v>
      </c>
      <c r="T18" s="611" t="e">
        <f t="shared" si="8"/>
        <v>#DIV/0!</v>
      </c>
      <c r="U18" s="611" t="e">
        <f t="shared" si="9"/>
        <v>#DIV/0!</v>
      </c>
      <c r="V18" s="611" t="e">
        <f t="shared" si="10"/>
        <v>#DIV/0!</v>
      </c>
      <c r="W18" s="611" t="e">
        <f t="shared" si="11"/>
        <v>#DIV/0!</v>
      </c>
      <c r="X18" s="603"/>
    </row>
    <row r="19" spans="1:24" outlineLevel="1">
      <c r="A19" s="494" t="s">
        <v>58</v>
      </c>
      <c r="B19" s="612"/>
      <c r="C19" s="611"/>
      <c r="D19" s="611"/>
      <c r="E19" s="613">
        <v>454094</v>
      </c>
      <c r="F19" s="613">
        <v>421098</v>
      </c>
      <c r="G19" s="613">
        <v>417738</v>
      </c>
      <c r="H19" s="613">
        <v>299802</v>
      </c>
      <c r="I19" s="613">
        <v>270487</v>
      </c>
      <c r="J19" s="613">
        <v>340378</v>
      </c>
      <c r="K19" s="611"/>
      <c r="L19" s="611">
        <f t="shared" si="1"/>
        <v>367266.16666666669</v>
      </c>
      <c r="M19" s="611">
        <f t="shared" si="2"/>
        <v>430976.66666666669</v>
      </c>
      <c r="N19" s="611">
        <f t="shared" si="12"/>
        <v>345026</v>
      </c>
      <c r="O19" s="611">
        <f t="shared" si="3"/>
        <v>331114.11875759391</v>
      </c>
      <c r="P19" s="611" t="e">
        <f t="shared" si="4"/>
        <v>#DIV/0!</v>
      </c>
      <c r="Q19" s="611" t="e">
        <f t="shared" si="5"/>
        <v>#DIV/0!</v>
      </c>
      <c r="R19" s="611" t="e">
        <f t="shared" si="6"/>
        <v>#DIV/0!</v>
      </c>
      <c r="S19" s="611" t="e">
        <f t="shared" si="7"/>
        <v>#DIV/0!</v>
      </c>
      <c r="T19" s="611" t="e">
        <f t="shared" si="8"/>
        <v>#DIV/0!</v>
      </c>
      <c r="U19" s="611" t="e">
        <f t="shared" si="9"/>
        <v>#DIV/0!</v>
      </c>
      <c r="V19" s="611" t="e">
        <f t="shared" si="10"/>
        <v>#DIV/0!</v>
      </c>
      <c r="W19" s="611" t="e">
        <f t="shared" si="11"/>
        <v>#DIV/0!</v>
      </c>
      <c r="X19" s="603"/>
    </row>
    <row r="20" spans="1:24" outlineLevel="1">
      <c r="A20" s="494" t="s">
        <v>49</v>
      </c>
      <c r="B20" s="612"/>
      <c r="C20" s="611"/>
      <c r="D20" s="611"/>
      <c r="E20" s="611"/>
      <c r="F20" s="611"/>
      <c r="G20" s="611"/>
      <c r="H20" s="611"/>
      <c r="I20" s="611"/>
      <c r="J20" s="611"/>
      <c r="K20" s="611"/>
      <c r="L20" s="611" t="e">
        <f t="shared" si="1"/>
        <v>#DIV/0!</v>
      </c>
      <c r="M20" s="611" t="e">
        <f t="shared" si="2"/>
        <v>#DIV/0!</v>
      </c>
      <c r="N20" s="611">
        <f t="shared" si="12"/>
        <v>0</v>
      </c>
      <c r="O20" s="611" t="e">
        <f t="shared" si="3"/>
        <v>#DIV/0!</v>
      </c>
      <c r="P20" s="611" t="e">
        <f t="shared" si="4"/>
        <v>#DIV/0!</v>
      </c>
      <c r="Q20" s="611" t="e">
        <f t="shared" si="5"/>
        <v>#DIV/0!</v>
      </c>
      <c r="R20" s="611" t="e">
        <f t="shared" si="6"/>
        <v>#DIV/0!</v>
      </c>
      <c r="S20" s="611" t="e">
        <f t="shared" si="7"/>
        <v>#DIV/0!</v>
      </c>
      <c r="T20" s="611" t="e">
        <f t="shared" si="8"/>
        <v>#DIV/0!</v>
      </c>
      <c r="U20" s="611" t="e">
        <f t="shared" si="9"/>
        <v>#DIV/0!</v>
      </c>
      <c r="V20" s="611" t="e">
        <f t="shared" si="10"/>
        <v>#DIV/0!</v>
      </c>
      <c r="W20" s="611" t="e">
        <f t="shared" si="11"/>
        <v>#DIV/0!</v>
      </c>
      <c r="X20" s="603"/>
    </row>
    <row r="21" spans="1:24" outlineLevel="1">
      <c r="A21" s="494" t="s">
        <v>53</v>
      </c>
      <c r="B21" s="612"/>
      <c r="C21" s="611"/>
      <c r="D21" s="611"/>
      <c r="E21" s="611"/>
      <c r="F21" s="611"/>
      <c r="G21" s="613">
        <v>803960</v>
      </c>
      <c r="H21" s="613">
        <v>479086.45999999996</v>
      </c>
      <c r="I21" s="613">
        <v>477528.31</v>
      </c>
      <c r="J21" s="613">
        <v>638509.97</v>
      </c>
      <c r="K21" s="613">
        <v>746273.97000000009</v>
      </c>
      <c r="L21" s="611">
        <f t="shared" si="1"/>
        <v>599771.18500000006</v>
      </c>
      <c r="M21" s="611">
        <f t="shared" si="2"/>
        <v>803960</v>
      </c>
      <c r="N21" s="611">
        <f t="shared" si="12"/>
        <v>2411880</v>
      </c>
      <c r="O21" s="611" t="e">
        <f t="shared" si="3"/>
        <v>#DIV/0!</v>
      </c>
      <c r="P21" s="611" t="e">
        <f t="shared" si="4"/>
        <v>#DIV/0!</v>
      </c>
      <c r="Q21" s="611" t="e">
        <f t="shared" si="5"/>
        <v>#DIV/0!</v>
      </c>
      <c r="R21" s="611" t="e">
        <f t="shared" si="6"/>
        <v>#DIV/0!</v>
      </c>
      <c r="S21" s="611" t="e">
        <f t="shared" si="7"/>
        <v>#DIV/0!</v>
      </c>
      <c r="T21" s="611" t="e">
        <f t="shared" si="8"/>
        <v>#DIV/0!</v>
      </c>
      <c r="U21" s="611" t="e">
        <f t="shared" si="9"/>
        <v>#DIV/0!</v>
      </c>
      <c r="V21" s="611" t="e">
        <f t="shared" si="10"/>
        <v>#DIV/0!</v>
      </c>
      <c r="W21" s="611" t="e">
        <f t="shared" si="11"/>
        <v>#DIV/0!</v>
      </c>
      <c r="X21" s="603"/>
    </row>
    <row r="22" spans="1:24" outlineLevel="1">
      <c r="A22" s="494" t="s">
        <v>42</v>
      </c>
      <c r="B22" s="612"/>
      <c r="C22" s="611"/>
      <c r="D22" s="611"/>
      <c r="E22" s="611"/>
      <c r="F22" s="613">
        <v>821272</v>
      </c>
      <c r="G22" s="613">
        <v>799589</v>
      </c>
      <c r="H22" s="613">
        <v>539304</v>
      </c>
      <c r="I22" s="613">
        <v>494142</v>
      </c>
      <c r="J22" s="613">
        <v>708346</v>
      </c>
      <c r="K22" s="614">
        <v>662148.88</v>
      </c>
      <c r="L22" s="611">
        <f t="shared" si="1"/>
        <v>672530.6</v>
      </c>
      <c r="M22" s="611">
        <f t="shared" si="2"/>
        <v>810430.5</v>
      </c>
      <c r="N22" s="611">
        <f t="shared" si="12"/>
        <v>2398767</v>
      </c>
      <c r="O22" s="611" t="e">
        <f t="shared" si="3"/>
        <v>#DIV/0!</v>
      </c>
      <c r="P22" s="611" t="e">
        <f t="shared" si="4"/>
        <v>#DIV/0!</v>
      </c>
      <c r="Q22" s="611" t="e">
        <f t="shared" si="5"/>
        <v>#DIV/0!</v>
      </c>
      <c r="R22" s="611" t="e">
        <f t="shared" si="6"/>
        <v>#DIV/0!</v>
      </c>
      <c r="S22" s="611" t="e">
        <f t="shared" si="7"/>
        <v>#DIV/0!</v>
      </c>
      <c r="T22" s="611" t="e">
        <f t="shared" si="8"/>
        <v>#DIV/0!</v>
      </c>
      <c r="U22" s="611" t="e">
        <f t="shared" si="9"/>
        <v>#DIV/0!</v>
      </c>
      <c r="V22" s="611" t="e">
        <f t="shared" si="10"/>
        <v>#DIV/0!</v>
      </c>
      <c r="W22" s="611" t="e">
        <f t="shared" si="11"/>
        <v>#DIV/0!</v>
      </c>
      <c r="X22" s="603"/>
    </row>
    <row r="23" spans="1:24" outlineLevel="1">
      <c r="A23" s="494" t="s">
        <v>54</v>
      </c>
      <c r="B23" s="612"/>
      <c r="C23" s="611"/>
      <c r="D23" s="611"/>
      <c r="E23" s="613">
        <v>2892861</v>
      </c>
      <c r="F23" s="613">
        <v>2632975</v>
      </c>
      <c r="G23" s="613">
        <v>2620448</v>
      </c>
      <c r="H23" s="613">
        <v>1821680</v>
      </c>
      <c r="I23" s="613">
        <v>2067561</v>
      </c>
      <c r="J23" s="613">
        <v>2745255</v>
      </c>
      <c r="K23" s="613">
        <v>3094973</v>
      </c>
      <c r="L23" s="611">
        <f>AVERAGE(E23:K23)</f>
        <v>2553679</v>
      </c>
      <c r="M23" s="611">
        <f t="shared" si="2"/>
        <v>2715428</v>
      </c>
      <c r="N23" s="611">
        <f t="shared" si="12"/>
        <v>2075622</v>
      </c>
      <c r="O23" s="611">
        <f t="shared" si="3"/>
        <v>1977450.5257897626</v>
      </c>
      <c r="P23" s="611">
        <f t="shared" si="4"/>
        <v>1326163.3672541887</v>
      </c>
      <c r="Q23" s="611">
        <f t="shared" si="5"/>
        <v>1263439.3198086731</v>
      </c>
      <c r="R23" s="611">
        <f t="shared" si="6"/>
        <v>1203681.95522071</v>
      </c>
      <c r="S23" s="611">
        <f t="shared" si="7"/>
        <v>1146750.9571756525</v>
      </c>
      <c r="T23" s="611">
        <f t="shared" si="8"/>
        <v>1092512.6459523495</v>
      </c>
      <c r="U23" s="611">
        <f t="shared" si="9"/>
        <v>1040839.6645296871</v>
      </c>
      <c r="V23" s="611">
        <f t="shared" si="10"/>
        <v>991610.67953946814</v>
      </c>
      <c r="W23" s="611">
        <f t="shared" si="11"/>
        <v>944710.09636343468</v>
      </c>
      <c r="X23" s="603"/>
    </row>
    <row r="24" spans="1:24" outlineLevel="1">
      <c r="A24" s="494" t="s">
        <v>438</v>
      </c>
      <c r="B24" s="612"/>
      <c r="C24" s="611"/>
      <c r="D24" s="611"/>
      <c r="E24" s="611"/>
      <c r="F24" s="611"/>
      <c r="G24" s="611"/>
      <c r="H24" s="611"/>
      <c r="I24" s="611"/>
      <c r="J24" s="611"/>
      <c r="K24" s="611"/>
      <c r="L24" s="611" t="e">
        <f t="shared" si="1"/>
        <v>#DIV/0!</v>
      </c>
      <c r="M24" s="611" t="e">
        <f t="shared" si="2"/>
        <v>#DIV/0!</v>
      </c>
      <c r="N24" s="611">
        <f t="shared" si="12"/>
        <v>0</v>
      </c>
      <c r="O24" s="611" t="e">
        <f t="shared" si="3"/>
        <v>#DIV/0!</v>
      </c>
      <c r="P24" s="611" t="e">
        <f t="shared" si="4"/>
        <v>#DIV/0!</v>
      </c>
      <c r="Q24" s="611" t="e">
        <f t="shared" si="5"/>
        <v>#DIV/0!</v>
      </c>
      <c r="R24" s="611" t="e">
        <f t="shared" si="6"/>
        <v>#DIV/0!</v>
      </c>
      <c r="S24" s="611" t="e">
        <f t="shared" si="7"/>
        <v>#DIV/0!</v>
      </c>
      <c r="T24" s="611" t="e">
        <f t="shared" si="8"/>
        <v>#DIV/0!</v>
      </c>
      <c r="U24" s="611" t="e">
        <f t="shared" si="9"/>
        <v>#DIV/0!</v>
      </c>
      <c r="V24" s="611" t="e">
        <f t="shared" si="10"/>
        <v>#DIV/0!</v>
      </c>
      <c r="W24" s="611" t="e">
        <f t="shared" si="11"/>
        <v>#DIV/0!</v>
      </c>
      <c r="X24" s="603"/>
    </row>
    <row r="25" spans="1:24" s="633" customFormat="1">
      <c r="A25" s="615" t="s">
        <v>203</v>
      </c>
      <c r="B25" s="616"/>
      <c r="C25" s="617"/>
      <c r="D25" s="617">
        <f t="shared" ref="D25:K25" si="13">SUM(D7:D24)</f>
        <v>44646000</v>
      </c>
      <c r="E25" s="617">
        <f t="shared" si="13"/>
        <v>49444409.439999998</v>
      </c>
      <c r="F25" s="617">
        <f t="shared" si="13"/>
        <v>49349216.800000004</v>
      </c>
      <c r="G25" s="617">
        <f t="shared" si="13"/>
        <v>49993610.770000003</v>
      </c>
      <c r="H25" s="617">
        <f t="shared" si="13"/>
        <v>33067899.340000004</v>
      </c>
      <c r="I25" s="617">
        <f t="shared" si="13"/>
        <v>29991154.41</v>
      </c>
      <c r="J25" s="617">
        <f t="shared" si="13"/>
        <v>44298164.029999994</v>
      </c>
      <c r="K25" s="617">
        <f t="shared" si="13"/>
        <v>7105959.1300000008</v>
      </c>
      <c r="L25" s="618">
        <f>AVERAGE(E25:J25)</f>
        <v>42690742.465000004</v>
      </c>
      <c r="M25" s="618">
        <f>AVERAGE(E25:G25)</f>
        <v>49595745.670000009</v>
      </c>
      <c r="N25" s="617">
        <f t="shared" ref="N25:W25" si="14">SUM(N7:N24)</f>
        <v>51137860.730000004</v>
      </c>
      <c r="O25" s="617" t="e">
        <f t="shared" si="14"/>
        <v>#DIV/0!</v>
      </c>
      <c r="P25" s="617" t="e">
        <f t="shared" si="14"/>
        <v>#DIV/0!</v>
      </c>
      <c r="Q25" s="617" t="e">
        <f t="shared" si="14"/>
        <v>#DIV/0!</v>
      </c>
      <c r="R25" s="617" t="e">
        <f t="shared" si="14"/>
        <v>#DIV/0!</v>
      </c>
      <c r="S25" s="617" t="e">
        <f t="shared" si="14"/>
        <v>#DIV/0!</v>
      </c>
      <c r="T25" s="617" t="e">
        <f t="shared" si="14"/>
        <v>#DIV/0!</v>
      </c>
      <c r="U25" s="617" t="e">
        <f t="shared" si="14"/>
        <v>#DIV/0!</v>
      </c>
      <c r="V25" s="617" t="e">
        <f t="shared" si="14"/>
        <v>#DIV/0!</v>
      </c>
      <c r="W25" s="617" t="e">
        <f t="shared" si="14"/>
        <v>#DIV/0!</v>
      </c>
      <c r="X25" s="625"/>
    </row>
    <row r="27" spans="1:24">
      <c r="A27" s="603">
        <v>2</v>
      </c>
      <c r="B27" s="603" t="s">
        <v>264</v>
      </c>
      <c r="C27" s="1923" t="s">
        <v>452</v>
      </c>
      <c r="D27" s="1923"/>
      <c r="E27" s="1923"/>
      <c r="F27" s="1923"/>
      <c r="G27" s="1923"/>
      <c r="H27" s="1923"/>
      <c r="I27" s="1923"/>
      <c r="J27" s="1923"/>
      <c r="K27" s="604"/>
      <c r="L27" s="604"/>
      <c r="M27" s="603"/>
      <c r="N27" s="603"/>
      <c r="O27" s="603"/>
      <c r="P27" s="603"/>
      <c r="Q27" s="603"/>
      <c r="R27" s="603"/>
      <c r="S27" s="603"/>
      <c r="T27" s="603"/>
      <c r="U27" s="603"/>
      <c r="V27" s="603"/>
      <c r="W27" s="603"/>
      <c r="X27" s="603"/>
    </row>
    <row r="28" spans="1:24">
      <c r="A28" s="603"/>
      <c r="B28" s="603" t="s">
        <v>357</v>
      </c>
      <c r="C28" s="494">
        <v>2015</v>
      </c>
      <c r="D28" s="494" t="s">
        <v>303</v>
      </c>
      <c r="E28" s="494" t="s">
        <v>304</v>
      </c>
      <c r="F28" s="494" t="s">
        <v>305</v>
      </c>
      <c r="G28" s="494" t="s">
        <v>306</v>
      </c>
      <c r="H28" s="494" t="s">
        <v>307</v>
      </c>
      <c r="I28" s="494" t="s">
        <v>308</v>
      </c>
      <c r="J28" s="494" t="s">
        <v>309</v>
      </c>
      <c r="K28" s="494" t="s">
        <v>340</v>
      </c>
      <c r="L28" s="494" t="s">
        <v>355</v>
      </c>
      <c r="M28" s="494" t="s">
        <v>356</v>
      </c>
      <c r="N28" s="494" t="s">
        <v>341</v>
      </c>
      <c r="O28" s="494" t="s">
        <v>342</v>
      </c>
      <c r="P28" s="494" t="s">
        <v>343</v>
      </c>
      <c r="Q28" s="494" t="s">
        <v>344</v>
      </c>
      <c r="R28" s="494" t="s">
        <v>345</v>
      </c>
      <c r="S28" s="494" t="s">
        <v>346</v>
      </c>
      <c r="T28" s="494" t="s">
        <v>347</v>
      </c>
      <c r="U28" s="494" t="s">
        <v>348</v>
      </c>
      <c r="V28" s="494" t="s">
        <v>349</v>
      </c>
      <c r="W28" s="494" t="s">
        <v>350</v>
      </c>
      <c r="X28" s="494" t="s">
        <v>353</v>
      </c>
    </row>
    <row r="29" spans="1:24">
      <c r="A29" s="603" t="s">
        <v>16</v>
      </c>
      <c r="B29" s="603"/>
      <c r="C29" s="494"/>
      <c r="D29" s="619">
        <f t="shared" ref="D29:K30" si="15">D6-C6</f>
        <v>-484905.38120876253</v>
      </c>
      <c r="E29" s="619">
        <f t="shared" si="15"/>
        <v>-969353.95094203949</v>
      </c>
      <c r="F29" s="619">
        <f t="shared" si="15"/>
        <v>399253.22955860198</v>
      </c>
      <c r="G29" s="619">
        <f t="shared" si="15"/>
        <v>1784534.0289137959</v>
      </c>
      <c r="H29" s="619">
        <f t="shared" si="15"/>
        <v>-22554838.195470192</v>
      </c>
      <c r="I29" s="619">
        <f t="shared" si="15"/>
        <v>-5585433.910541147</v>
      </c>
      <c r="J29" s="619">
        <f t="shared" si="15"/>
        <v>25975899.335246317</v>
      </c>
      <c r="K29" s="619">
        <f t="shared" si="15"/>
        <v>7807559.4915455431</v>
      </c>
      <c r="L29" s="611">
        <f t="shared" ref="L29:L48" si="16">AVERAGE(F29:J29)</f>
        <v>3882.8975414752958</v>
      </c>
      <c r="M29" s="611">
        <f t="shared" ref="M29:M48" si="17">AVERAGE(F29:G29)</f>
        <v>1091893.629236199</v>
      </c>
      <c r="N29" s="619">
        <f t="shared" ref="N29:N48" si="18">N6-K6</f>
        <v>-932020.6232368201</v>
      </c>
      <c r="O29" s="619">
        <f t="shared" ref="O29:W29" si="19">O6-N6</f>
        <v>-922684.72270220518</v>
      </c>
      <c r="P29" s="619">
        <f t="shared" si="19"/>
        <v>-913442.33838024735</v>
      </c>
      <c r="Q29" s="619">
        <f t="shared" si="19"/>
        <v>-904292.53353407979</v>
      </c>
      <c r="R29" s="619">
        <f t="shared" si="19"/>
        <v>-895234.38081000745</v>
      </c>
      <c r="S29" s="619">
        <f t="shared" si="19"/>
        <v>-886266.96214346588</v>
      </c>
      <c r="T29" s="619">
        <f t="shared" si="19"/>
        <v>-877389.36866603792</v>
      </c>
      <c r="U29" s="619">
        <f t="shared" si="19"/>
        <v>-868600.70061323047</v>
      </c>
      <c r="V29" s="619">
        <f t="shared" si="19"/>
        <v>-859900.06723341346</v>
      </c>
      <c r="W29" s="619">
        <f t="shared" si="19"/>
        <v>-851286.58669741452</v>
      </c>
      <c r="X29" s="494"/>
    </row>
    <row r="30" spans="1:24">
      <c r="A30" s="494" t="s">
        <v>40</v>
      </c>
      <c r="B30" s="609"/>
      <c r="C30" s="619"/>
      <c r="D30" s="619">
        <f t="shared" si="15"/>
        <v>0</v>
      </c>
      <c r="E30" s="619">
        <f t="shared" si="15"/>
        <v>0</v>
      </c>
      <c r="F30" s="619">
        <f t="shared" si="15"/>
        <v>0</v>
      </c>
      <c r="G30" s="619">
        <f t="shared" si="15"/>
        <v>0</v>
      </c>
      <c r="H30" s="619">
        <f t="shared" si="15"/>
        <v>0</v>
      </c>
      <c r="I30" s="619">
        <f t="shared" si="15"/>
        <v>0</v>
      </c>
      <c r="J30" s="619">
        <f t="shared" si="15"/>
        <v>0</v>
      </c>
      <c r="K30" s="619">
        <f t="shared" si="15"/>
        <v>0</v>
      </c>
      <c r="L30" s="611">
        <f t="shared" si="16"/>
        <v>0</v>
      </c>
      <c r="M30" s="611">
        <f t="shared" si="17"/>
        <v>0</v>
      </c>
      <c r="N30" s="619">
        <f t="shared" si="18"/>
        <v>0</v>
      </c>
      <c r="O30" s="619" t="e">
        <f t="shared" ref="O30:W30" si="20">O7-N7</f>
        <v>#DIV/0!</v>
      </c>
      <c r="P30" s="619" t="e">
        <f t="shared" si="20"/>
        <v>#DIV/0!</v>
      </c>
      <c r="Q30" s="619" t="e">
        <f t="shared" si="20"/>
        <v>#DIV/0!</v>
      </c>
      <c r="R30" s="619" t="e">
        <f t="shared" si="20"/>
        <v>#DIV/0!</v>
      </c>
      <c r="S30" s="619" t="e">
        <f t="shared" si="20"/>
        <v>#DIV/0!</v>
      </c>
      <c r="T30" s="619" t="e">
        <f t="shared" si="20"/>
        <v>#DIV/0!</v>
      </c>
      <c r="U30" s="619" t="e">
        <f t="shared" si="20"/>
        <v>#DIV/0!</v>
      </c>
      <c r="V30" s="619" t="e">
        <f t="shared" si="20"/>
        <v>#DIV/0!</v>
      </c>
      <c r="W30" s="619" t="e">
        <f t="shared" si="20"/>
        <v>#DIV/0!</v>
      </c>
      <c r="X30" s="611"/>
    </row>
    <row r="31" spans="1:24">
      <c r="A31" s="494" t="s">
        <v>59</v>
      </c>
      <c r="B31" s="612"/>
      <c r="C31" s="619"/>
      <c r="D31" s="619">
        <f t="shared" ref="D31:K46" si="21">D8-C8</f>
        <v>0</v>
      </c>
      <c r="E31" s="619">
        <f t="shared" si="21"/>
        <v>348617.45999999996</v>
      </c>
      <c r="F31" s="619">
        <f t="shared" si="21"/>
        <v>-7444.9399999999441</v>
      </c>
      <c r="G31" s="619">
        <f t="shared" si="21"/>
        <v>-898.38999999995576</v>
      </c>
      <c r="H31" s="619">
        <f t="shared" si="21"/>
        <v>-107421.92000000001</v>
      </c>
      <c r="I31" s="619">
        <f t="shared" si="21"/>
        <v>-6211.0300000000279</v>
      </c>
      <c r="J31" s="619">
        <f t="shared" si="21"/>
        <v>49820.999999999971</v>
      </c>
      <c r="K31" s="619">
        <f t="shared" si="21"/>
        <v>89314.82</v>
      </c>
      <c r="L31" s="611">
        <f t="shared" si="16"/>
        <v>-14431.055999999993</v>
      </c>
      <c r="M31" s="611">
        <f t="shared" si="17"/>
        <v>-4171.6649999999499</v>
      </c>
      <c r="N31" s="619">
        <f t="shared" si="18"/>
        <v>3657.7700000000186</v>
      </c>
      <c r="O31" s="619">
        <f t="shared" ref="O31:W46" si="22">O8-N8</f>
        <v>-4431.1589009156451</v>
      </c>
      <c r="P31" s="619">
        <f t="shared" si="22"/>
        <v>3650.0361109908554</v>
      </c>
      <c r="Q31" s="619">
        <f t="shared" si="22"/>
        <v>-4421.7897795324679</v>
      </c>
      <c r="R31" s="619">
        <f t="shared" si="22"/>
        <v>-4368.7529385779635</v>
      </c>
      <c r="S31" s="619">
        <f t="shared" si="22"/>
        <v>-4316.3522442153771</v>
      </c>
      <c r="T31" s="619">
        <f t="shared" si="22"/>
        <v>-4264.5800662299735</v>
      </c>
      <c r="U31" s="619">
        <f t="shared" si="22"/>
        <v>-4213.4288659270387</v>
      </c>
      <c r="V31" s="619">
        <f t="shared" si="22"/>
        <v>-4162.8911950342008</v>
      </c>
      <c r="W31" s="619">
        <f t="shared" si="22"/>
        <v>-4112.959694616904</v>
      </c>
      <c r="X31" s="611"/>
    </row>
    <row r="32" spans="1:24">
      <c r="A32" s="494" t="s">
        <v>43</v>
      </c>
      <c r="B32" s="612"/>
      <c r="C32" s="619"/>
      <c r="D32" s="619">
        <f t="shared" si="21"/>
        <v>1709000</v>
      </c>
      <c r="E32" s="619">
        <f t="shared" si="21"/>
        <v>172000</v>
      </c>
      <c r="F32" s="619">
        <f t="shared" si="21"/>
        <v>-573000</v>
      </c>
      <c r="G32" s="619">
        <f t="shared" si="21"/>
        <v>-107000</v>
      </c>
      <c r="H32" s="619">
        <f t="shared" si="21"/>
        <v>-15017000</v>
      </c>
      <c r="I32" s="619">
        <f t="shared" si="21"/>
        <v>-3223000</v>
      </c>
      <c r="J32" s="619">
        <f t="shared" si="21"/>
        <v>8456000</v>
      </c>
      <c r="K32" s="619">
        <f t="shared" si="21"/>
        <v>-34354000</v>
      </c>
      <c r="L32" s="611">
        <f t="shared" si="16"/>
        <v>-2092800</v>
      </c>
      <c r="M32" s="611">
        <f t="shared" si="17"/>
        <v>-340000</v>
      </c>
      <c r="N32" s="619">
        <f t="shared" si="18"/>
        <v>42778000</v>
      </c>
      <c r="O32" s="619">
        <f t="shared" si="22"/>
        <v>-325185.39598793536</v>
      </c>
      <c r="P32" s="619" t="e">
        <f t="shared" si="22"/>
        <v>#DIV/0!</v>
      </c>
      <c r="Q32" s="619" t="e">
        <f t="shared" si="22"/>
        <v>#DIV/0!</v>
      </c>
      <c r="R32" s="619" t="e">
        <f t="shared" si="22"/>
        <v>#DIV/0!</v>
      </c>
      <c r="S32" s="619" t="e">
        <f t="shared" si="22"/>
        <v>#DIV/0!</v>
      </c>
      <c r="T32" s="619" t="e">
        <f t="shared" si="22"/>
        <v>#DIV/0!</v>
      </c>
      <c r="U32" s="619" t="e">
        <f t="shared" si="22"/>
        <v>#DIV/0!</v>
      </c>
      <c r="V32" s="619" t="e">
        <f t="shared" si="22"/>
        <v>#DIV/0!</v>
      </c>
      <c r="W32" s="619" t="e">
        <f t="shared" si="22"/>
        <v>#DIV/0!</v>
      </c>
      <c r="X32" s="611"/>
    </row>
    <row r="33" spans="1:24">
      <c r="A33" s="494" t="s">
        <v>44</v>
      </c>
      <c r="B33" s="612"/>
      <c r="C33" s="619"/>
      <c r="D33" s="619">
        <f t="shared" si="21"/>
        <v>0</v>
      </c>
      <c r="E33" s="619">
        <f t="shared" si="21"/>
        <v>0</v>
      </c>
      <c r="F33" s="619">
        <f t="shared" si="21"/>
        <v>0</v>
      </c>
      <c r="G33" s="619">
        <f t="shared" si="21"/>
        <v>0</v>
      </c>
      <c r="H33" s="619">
        <f t="shared" si="21"/>
        <v>0</v>
      </c>
      <c r="I33" s="619">
        <f t="shared" si="21"/>
        <v>0</v>
      </c>
      <c r="J33" s="619">
        <f t="shared" si="21"/>
        <v>0</v>
      </c>
      <c r="K33" s="619">
        <f t="shared" si="21"/>
        <v>0</v>
      </c>
      <c r="L33" s="611">
        <f t="shared" si="16"/>
        <v>0</v>
      </c>
      <c r="M33" s="611">
        <f t="shared" si="17"/>
        <v>0</v>
      </c>
      <c r="N33" s="619">
        <f t="shared" si="18"/>
        <v>0</v>
      </c>
      <c r="O33" s="619" t="e">
        <f t="shared" si="22"/>
        <v>#DIV/0!</v>
      </c>
      <c r="P33" s="619" t="e">
        <f t="shared" si="22"/>
        <v>#DIV/0!</v>
      </c>
      <c r="Q33" s="619" t="e">
        <f t="shared" si="22"/>
        <v>#DIV/0!</v>
      </c>
      <c r="R33" s="619" t="e">
        <f t="shared" si="22"/>
        <v>#DIV/0!</v>
      </c>
      <c r="S33" s="619" t="e">
        <f t="shared" si="22"/>
        <v>#DIV/0!</v>
      </c>
      <c r="T33" s="619" t="e">
        <f t="shared" si="22"/>
        <v>#DIV/0!</v>
      </c>
      <c r="U33" s="619" t="e">
        <f t="shared" si="22"/>
        <v>#DIV/0!</v>
      </c>
      <c r="V33" s="619" t="e">
        <f t="shared" si="22"/>
        <v>#DIV/0!</v>
      </c>
      <c r="W33" s="619" t="e">
        <f t="shared" si="22"/>
        <v>#DIV/0!</v>
      </c>
      <c r="X33" s="611"/>
    </row>
    <row r="34" spans="1:24">
      <c r="A34" s="494" t="s">
        <v>57</v>
      </c>
      <c r="B34" s="612"/>
      <c r="C34" s="619"/>
      <c r="D34" s="619">
        <f t="shared" si="21"/>
        <v>0</v>
      </c>
      <c r="E34" s="619">
        <f t="shared" si="21"/>
        <v>0</v>
      </c>
      <c r="F34" s="619">
        <f t="shared" si="21"/>
        <v>0</v>
      </c>
      <c r="G34" s="619">
        <f t="shared" si="21"/>
        <v>0</v>
      </c>
      <c r="H34" s="619">
        <f t="shared" si="21"/>
        <v>0</v>
      </c>
      <c r="I34" s="619">
        <f t="shared" si="21"/>
        <v>0</v>
      </c>
      <c r="J34" s="619">
        <f t="shared" si="21"/>
        <v>0</v>
      </c>
      <c r="K34" s="619">
        <f t="shared" si="21"/>
        <v>0</v>
      </c>
      <c r="L34" s="611">
        <f t="shared" si="16"/>
        <v>0</v>
      </c>
      <c r="M34" s="611">
        <f t="shared" si="17"/>
        <v>0</v>
      </c>
      <c r="N34" s="619">
        <f t="shared" si="18"/>
        <v>0</v>
      </c>
      <c r="O34" s="619" t="e">
        <f t="shared" si="22"/>
        <v>#DIV/0!</v>
      </c>
      <c r="P34" s="619" t="e">
        <f t="shared" si="22"/>
        <v>#DIV/0!</v>
      </c>
      <c r="Q34" s="619" t="e">
        <f t="shared" si="22"/>
        <v>#DIV/0!</v>
      </c>
      <c r="R34" s="619" t="e">
        <f t="shared" si="22"/>
        <v>#DIV/0!</v>
      </c>
      <c r="S34" s="619" t="e">
        <f t="shared" si="22"/>
        <v>#DIV/0!</v>
      </c>
      <c r="T34" s="619" t="e">
        <f t="shared" si="22"/>
        <v>#DIV/0!</v>
      </c>
      <c r="U34" s="619" t="e">
        <f t="shared" si="22"/>
        <v>#DIV/0!</v>
      </c>
      <c r="V34" s="619" t="e">
        <f t="shared" si="22"/>
        <v>#DIV/0!</v>
      </c>
      <c r="W34" s="619" t="e">
        <f t="shared" si="22"/>
        <v>#DIV/0!</v>
      </c>
      <c r="X34" s="611"/>
    </row>
    <row r="35" spans="1:24">
      <c r="A35" s="494" t="s">
        <v>55</v>
      </c>
      <c r="B35" s="612"/>
      <c r="C35" s="619"/>
      <c r="D35" s="619">
        <f t="shared" si="21"/>
        <v>0</v>
      </c>
      <c r="E35" s="619">
        <f t="shared" si="21"/>
        <v>0</v>
      </c>
      <c r="F35" s="619">
        <f t="shared" si="21"/>
        <v>0</v>
      </c>
      <c r="G35" s="619">
        <f t="shared" si="21"/>
        <v>0</v>
      </c>
      <c r="H35" s="619">
        <f t="shared" si="21"/>
        <v>0</v>
      </c>
      <c r="I35" s="619">
        <f t="shared" si="21"/>
        <v>0</v>
      </c>
      <c r="J35" s="619">
        <f t="shared" si="21"/>
        <v>1577708.89</v>
      </c>
      <c r="K35" s="619">
        <f t="shared" si="21"/>
        <v>128981.29000000004</v>
      </c>
      <c r="L35" s="611">
        <f t="shared" si="16"/>
        <v>315541.77799999999</v>
      </c>
      <c r="M35" s="611">
        <f t="shared" si="17"/>
        <v>0</v>
      </c>
      <c r="N35" s="619">
        <f t="shared" si="18"/>
        <v>-1706690.18</v>
      </c>
      <c r="O35" s="619" t="e">
        <f t="shared" si="22"/>
        <v>#DIV/0!</v>
      </c>
      <c r="P35" s="619" t="e">
        <f t="shared" si="22"/>
        <v>#DIV/0!</v>
      </c>
      <c r="Q35" s="619" t="e">
        <f t="shared" si="22"/>
        <v>#DIV/0!</v>
      </c>
      <c r="R35" s="619" t="e">
        <f t="shared" si="22"/>
        <v>#DIV/0!</v>
      </c>
      <c r="S35" s="619" t="e">
        <f t="shared" si="22"/>
        <v>#DIV/0!</v>
      </c>
      <c r="T35" s="619" t="e">
        <f t="shared" si="22"/>
        <v>#DIV/0!</v>
      </c>
      <c r="U35" s="619" t="e">
        <f t="shared" si="22"/>
        <v>#DIV/0!</v>
      </c>
      <c r="V35" s="619" t="e">
        <f t="shared" si="22"/>
        <v>#DIV/0!</v>
      </c>
      <c r="W35" s="619" t="e">
        <f t="shared" si="22"/>
        <v>#DIV/0!</v>
      </c>
      <c r="X35" s="611"/>
    </row>
    <row r="36" spans="1:24">
      <c r="A36" s="494" t="s">
        <v>45</v>
      </c>
      <c r="B36" s="612"/>
      <c r="C36" s="619"/>
      <c r="D36" s="619">
        <f t="shared" si="21"/>
        <v>0</v>
      </c>
      <c r="E36" s="619">
        <f t="shared" si="21"/>
        <v>0</v>
      </c>
      <c r="F36" s="619">
        <f t="shared" si="21"/>
        <v>0</v>
      </c>
      <c r="G36" s="619">
        <f t="shared" si="21"/>
        <v>0</v>
      </c>
      <c r="H36" s="619">
        <f t="shared" si="21"/>
        <v>0</v>
      </c>
      <c r="I36" s="619">
        <f t="shared" si="21"/>
        <v>0</v>
      </c>
      <c r="J36" s="619">
        <f t="shared" si="21"/>
        <v>2438659.2999999998</v>
      </c>
      <c r="K36" s="619">
        <f t="shared" si="21"/>
        <v>-2438659.2999999998</v>
      </c>
      <c r="L36" s="611">
        <f t="shared" si="16"/>
        <v>487731.86</v>
      </c>
      <c r="M36" s="611">
        <f t="shared" si="17"/>
        <v>0</v>
      </c>
      <c r="N36" s="619">
        <f t="shared" si="18"/>
        <v>0</v>
      </c>
      <c r="O36" s="619" t="e">
        <f t="shared" si="22"/>
        <v>#DIV/0!</v>
      </c>
      <c r="P36" s="619" t="e">
        <f t="shared" si="22"/>
        <v>#DIV/0!</v>
      </c>
      <c r="Q36" s="619" t="e">
        <f t="shared" si="22"/>
        <v>#DIV/0!</v>
      </c>
      <c r="R36" s="619" t="e">
        <f t="shared" si="22"/>
        <v>#DIV/0!</v>
      </c>
      <c r="S36" s="619" t="e">
        <f t="shared" si="22"/>
        <v>#DIV/0!</v>
      </c>
      <c r="T36" s="619" t="e">
        <f t="shared" si="22"/>
        <v>#DIV/0!</v>
      </c>
      <c r="U36" s="619" t="e">
        <f t="shared" si="22"/>
        <v>#DIV/0!</v>
      </c>
      <c r="V36" s="619" t="e">
        <f t="shared" si="22"/>
        <v>#DIV/0!</v>
      </c>
      <c r="W36" s="619" t="e">
        <f t="shared" si="22"/>
        <v>#DIV/0!</v>
      </c>
      <c r="X36" s="611"/>
    </row>
    <row r="37" spans="1:24" outlineLevel="1">
      <c r="A37" s="494" t="s">
        <v>48</v>
      </c>
      <c r="B37" s="612"/>
      <c r="C37" s="611"/>
      <c r="D37" s="619">
        <f t="shared" si="21"/>
        <v>0</v>
      </c>
      <c r="E37" s="619">
        <f t="shared" si="21"/>
        <v>0</v>
      </c>
      <c r="F37" s="619">
        <f t="shared" si="21"/>
        <v>0</v>
      </c>
      <c r="G37" s="619">
        <f t="shared" si="21"/>
        <v>0</v>
      </c>
      <c r="H37" s="619">
        <f t="shared" si="21"/>
        <v>0</v>
      </c>
      <c r="I37" s="619">
        <f t="shared" si="21"/>
        <v>0</v>
      </c>
      <c r="J37" s="619">
        <f t="shared" si="21"/>
        <v>0</v>
      </c>
      <c r="K37" s="619">
        <f t="shared" si="21"/>
        <v>0</v>
      </c>
      <c r="L37" s="611">
        <f t="shared" si="16"/>
        <v>0</v>
      </c>
      <c r="M37" s="611">
        <f t="shared" si="17"/>
        <v>0</v>
      </c>
      <c r="N37" s="619">
        <f t="shared" si="18"/>
        <v>0</v>
      </c>
      <c r="O37" s="619" t="e">
        <f t="shared" si="22"/>
        <v>#DIV/0!</v>
      </c>
      <c r="P37" s="619" t="e">
        <f t="shared" si="22"/>
        <v>#DIV/0!</v>
      </c>
      <c r="Q37" s="619" t="e">
        <f t="shared" si="22"/>
        <v>#DIV/0!</v>
      </c>
      <c r="R37" s="619" t="e">
        <f t="shared" si="22"/>
        <v>#DIV/0!</v>
      </c>
      <c r="S37" s="619" t="e">
        <f t="shared" si="22"/>
        <v>#DIV/0!</v>
      </c>
      <c r="T37" s="619" t="e">
        <f t="shared" si="22"/>
        <v>#DIV/0!</v>
      </c>
      <c r="U37" s="619" t="e">
        <f t="shared" si="22"/>
        <v>#DIV/0!</v>
      </c>
      <c r="V37" s="619" t="e">
        <f t="shared" si="22"/>
        <v>#DIV/0!</v>
      </c>
      <c r="W37" s="619" t="e">
        <f t="shared" si="22"/>
        <v>#DIV/0!</v>
      </c>
      <c r="X37" s="603"/>
    </row>
    <row r="38" spans="1:24" outlineLevel="1">
      <c r="A38" s="494" t="s">
        <v>50</v>
      </c>
      <c r="B38" s="612"/>
      <c r="C38" s="611"/>
      <c r="D38" s="619">
        <f t="shared" si="21"/>
        <v>0</v>
      </c>
      <c r="E38" s="619">
        <f t="shared" si="21"/>
        <v>0</v>
      </c>
      <c r="F38" s="619">
        <f t="shared" si="21"/>
        <v>0</v>
      </c>
      <c r="G38" s="619">
        <f t="shared" si="21"/>
        <v>0</v>
      </c>
      <c r="H38" s="619">
        <f t="shared" si="21"/>
        <v>0</v>
      </c>
      <c r="I38" s="619">
        <f t="shared" si="21"/>
        <v>0</v>
      </c>
      <c r="J38" s="619">
        <f t="shared" si="21"/>
        <v>539711.02999999991</v>
      </c>
      <c r="K38" s="619">
        <f t="shared" si="21"/>
        <v>-9614.9299999998184</v>
      </c>
      <c r="L38" s="611">
        <f t="shared" si="16"/>
        <v>107942.20599999998</v>
      </c>
      <c r="M38" s="611">
        <f t="shared" si="17"/>
        <v>0</v>
      </c>
      <c r="N38" s="619">
        <f t="shared" si="18"/>
        <v>-530096.10000000009</v>
      </c>
      <c r="O38" s="619" t="e">
        <f t="shared" si="22"/>
        <v>#DIV/0!</v>
      </c>
      <c r="P38" s="619" t="e">
        <f t="shared" si="22"/>
        <v>#DIV/0!</v>
      </c>
      <c r="Q38" s="619" t="e">
        <f t="shared" si="22"/>
        <v>#DIV/0!</v>
      </c>
      <c r="R38" s="619" t="e">
        <f t="shared" si="22"/>
        <v>#DIV/0!</v>
      </c>
      <c r="S38" s="619" t="e">
        <f t="shared" si="22"/>
        <v>#DIV/0!</v>
      </c>
      <c r="T38" s="619" t="e">
        <f t="shared" si="22"/>
        <v>#DIV/0!</v>
      </c>
      <c r="U38" s="619" t="e">
        <f t="shared" si="22"/>
        <v>#DIV/0!</v>
      </c>
      <c r="V38" s="619" t="e">
        <f t="shared" si="22"/>
        <v>#DIV/0!</v>
      </c>
      <c r="W38" s="619" t="e">
        <f t="shared" si="22"/>
        <v>#DIV/0!</v>
      </c>
      <c r="X38" s="603"/>
    </row>
    <row r="39" spans="1:24" outlineLevel="1">
      <c r="A39" s="494" t="s">
        <v>47</v>
      </c>
      <c r="B39" s="612"/>
      <c r="C39" s="611"/>
      <c r="D39" s="619">
        <f t="shared" si="21"/>
        <v>0</v>
      </c>
      <c r="E39" s="619">
        <f t="shared" si="21"/>
        <v>0</v>
      </c>
      <c r="F39" s="619">
        <f t="shared" si="21"/>
        <v>0</v>
      </c>
      <c r="G39" s="619">
        <f t="shared" si="21"/>
        <v>0</v>
      </c>
      <c r="H39" s="619">
        <f t="shared" si="21"/>
        <v>0</v>
      </c>
      <c r="I39" s="619">
        <f t="shared" si="21"/>
        <v>0</v>
      </c>
      <c r="J39" s="619">
        <f t="shared" si="21"/>
        <v>0</v>
      </c>
      <c r="K39" s="619">
        <f t="shared" si="21"/>
        <v>0</v>
      </c>
      <c r="L39" s="611">
        <f t="shared" si="16"/>
        <v>0</v>
      </c>
      <c r="M39" s="611">
        <f t="shared" si="17"/>
        <v>0</v>
      </c>
      <c r="N39" s="619">
        <f t="shared" si="18"/>
        <v>0</v>
      </c>
      <c r="O39" s="619" t="e">
        <f t="shared" si="22"/>
        <v>#DIV/0!</v>
      </c>
      <c r="P39" s="619" t="e">
        <f t="shared" si="22"/>
        <v>#DIV/0!</v>
      </c>
      <c r="Q39" s="619" t="e">
        <f t="shared" si="22"/>
        <v>#DIV/0!</v>
      </c>
      <c r="R39" s="619" t="e">
        <f t="shared" si="22"/>
        <v>#DIV/0!</v>
      </c>
      <c r="S39" s="619" t="e">
        <f t="shared" si="22"/>
        <v>#DIV/0!</v>
      </c>
      <c r="T39" s="619" t="e">
        <f t="shared" si="22"/>
        <v>#DIV/0!</v>
      </c>
      <c r="U39" s="619" t="e">
        <f t="shared" si="22"/>
        <v>#DIV/0!</v>
      </c>
      <c r="V39" s="619" t="e">
        <f t="shared" si="22"/>
        <v>#DIV/0!</v>
      </c>
      <c r="W39" s="619" t="e">
        <f t="shared" si="22"/>
        <v>#DIV/0!</v>
      </c>
      <c r="X39" s="603"/>
    </row>
    <row r="40" spans="1:24" outlineLevel="1">
      <c r="A40" s="494" t="s">
        <v>52</v>
      </c>
      <c r="B40" s="612"/>
      <c r="C40" s="611"/>
      <c r="D40" s="619">
        <f t="shared" si="21"/>
        <v>0</v>
      </c>
      <c r="E40" s="619">
        <f t="shared" si="21"/>
        <v>930836.97999999975</v>
      </c>
      <c r="F40" s="619">
        <f t="shared" si="21"/>
        <v>-43137.699999999837</v>
      </c>
      <c r="G40" s="619">
        <f t="shared" si="21"/>
        <v>-14097.640000000014</v>
      </c>
      <c r="H40" s="619">
        <f t="shared" si="21"/>
        <v>-299426.96999999962</v>
      </c>
      <c r="I40" s="619">
        <f t="shared" si="21"/>
        <v>-17379.750000000233</v>
      </c>
      <c r="J40" s="619">
        <f t="shared" si="21"/>
        <v>122338.73999999999</v>
      </c>
      <c r="K40" s="619">
        <f t="shared" si="21"/>
        <v>-679133.66</v>
      </c>
      <c r="L40" s="611">
        <f t="shared" si="16"/>
        <v>-50340.663999999946</v>
      </c>
      <c r="M40" s="611">
        <f t="shared" si="17"/>
        <v>-28617.669999999925</v>
      </c>
      <c r="N40" s="619">
        <f t="shared" si="18"/>
        <v>759130.9600000002</v>
      </c>
      <c r="O40" s="619">
        <f t="shared" si="22"/>
        <v>-23618.088068428682</v>
      </c>
      <c r="P40" s="619" t="e">
        <f t="shared" si="22"/>
        <v>#DIV/0!</v>
      </c>
      <c r="Q40" s="619" t="e">
        <f t="shared" si="22"/>
        <v>#DIV/0!</v>
      </c>
      <c r="R40" s="619" t="e">
        <f t="shared" si="22"/>
        <v>#DIV/0!</v>
      </c>
      <c r="S40" s="619" t="e">
        <f t="shared" si="22"/>
        <v>#DIV/0!</v>
      </c>
      <c r="T40" s="619" t="e">
        <f t="shared" si="22"/>
        <v>#DIV/0!</v>
      </c>
      <c r="U40" s="619" t="e">
        <f t="shared" si="22"/>
        <v>#DIV/0!</v>
      </c>
      <c r="V40" s="619" t="e">
        <f t="shared" si="22"/>
        <v>#DIV/0!</v>
      </c>
      <c r="W40" s="619" t="e">
        <f t="shared" si="22"/>
        <v>#DIV/0!</v>
      </c>
      <c r="X40" s="603"/>
    </row>
    <row r="41" spans="1:24" outlineLevel="1">
      <c r="A41" s="494" t="s">
        <v>60</v>
      </c>
      <c r="B41" s="612"/>
      <c r="C41" s="611"/>
      <c r="D41" s="619">
        <f t="shared" si="21"/>
        <v>0</v>
      </c>
      <c r="E41" s="619">
        <f t="shared" si="21"/>
        <v>0</v>
      </c>
      <c r="F41" s="619">
        <f t="shared" si="21"/>
        <v>0</v>
      </c>
      <c r="G41" s="619">
        <f t="shared" si="21"/>
        <v>0</v>
      </c>
      <c r="H41" s="619">
        <f t="shared" si="21"/>
        <v>0</v>
      </c>
      <c r="I41" s="619">
        <f t="shared" si="21"/>
        <v>0</v>
      </c>
      <c r="J41" s="619">
        <f t="shared" si="21"/>
        <v>0</v>
      </c>
      <c r="K41" s="619">
        <f t="shared" si="21"/>
        <v>0</v>
      </c>
      <c r="L41" s="611">
        <f t="shared" si="16"/>
        <v>0</v>
      </c>
      <c r="M41" s="611">
        <f t="shared" si="17"/>
        <v>0</v>
      </c>
      <c r="N41" s="619">
        <f t="shared" si="18"/>
        <v>0</v>
      </c>
      <c r="O41" s="619" t="e">
        <f t="shared" si="22"/>
        <v>#DIV/0!</v>
      </c>
      <c r="P41" s="619" t="e">
        <f t="shared" si="22"/>
        <v>#DIV/0!</v>
      </c>
      <c r="Q41" s="619" t="e">
        <f t="shared" si="22"/>
        <v>#DIV/0!</v>
      </c>
      <c r="R41" s="619" t="e">
        <f t="shared" si="22"/>
        <v>#DIV/0!</v>
      </c>
      <c r="S41" s="619" t="e">
        <f t="shared" si="22"/>
        <v>#DIV/0!</v>
      </c>
      <c r="T41" s="619" t="e">
        <f t="shared" si="22"/>
        <v>#DIV/0!</v>
      </c>
      <c r="U41" s="619" t="e">
        <f t="shared" si="22"/>
        <v>#DIV/0!</v>
      </c>
      <c r="V41" s="619" t="e">
        <f t="shared" si="22"/>
        <v>#DIV/0!</v>
      </c>
      <c r="W41" s="619" t="e">
        <f t="shared" si="22"/>
        <v>#DIV/0!</v>
      </c>
      <c r="X41" s="603"/>
    </row>
    <row r="42" spans="1:24" outlineLevel="1">
      <c r="A42" s="494" t="s">
        <v>58</v>
      </c>
      <c r="B42" s="612"/>
      <c r="C42" s="611"/>
      <c r="D42" s="619">
        <f t="shared" si="21"/>
        <v>0</v>
      </c>
      <c r="E42" s="619">
        <f t="shared" si="21"/>
        <v>454094</v>
      </c>
      <c r="F42" s="619">
        <f t="shared" si="21"/>
        <v>-32996</v>
      </c>
      <c r="G42" s="619">
        <f t="shared" si="21"/>
        <v>-3360</v>
      </c>
      <c r="H42" s="619">
        <f t="shared" si="21"/>
        <v>-117936</v>
      </c>
      <c r="I42" s="619">
        <f t="shared" si="21"/>
        <v>-29315</v>
      </c>
      <c r="J42" s="619">
        <f t="shared" si="21"/>
        <v>69891</v>
      </c>
      <c r="K42" s="619">
        <f t="shared" si="21"/>
        <v>-340378</v>
      </c>
      <c r="L42" s="611">
        <f t="shared" si="16"/>
        <v>-22743.200000000001</v>
      </c>
      <c r="M42" s="611">
        <f t="shared" si="17"/>
        <v>-18178</v>
      </c>
      <c r="N42" s="619">
        <f t="shared" si="18"/>
        <v>345026</v>
      </c>
      <c r="O42" s="619">
        <f t="shared" si="22"/>
        <v>-13911.881242406089</v>
      </c>
      <c r="P42" s="619" t="e">
        <f t="shared" si="22"/>
        <v>#DIV/0!</v>
      </c>
      <c r="Q42" s="619" t="e">
        <f t="shared" si="22"/>
        <v>#DIV/0!</v>
      </c>
      <c r="R42" s="619" t="e">
        <f t="shared" si="22"/>
        <v>#DIV/0!</v>
      </c>
      <c r="S42" s="619" t="e">
        <f t="shared" si="22"/>
        <v>#DIV/0!</v>
      </c>
      <c r="T42" s="619" t="e">
        <f t="shared" si="22"/>
        <v>#DIV/0!</v>
      </c>
      <c r="U42" s="619" t="e">
        <f t="shared" si="22"/>
        <v>#DIV/0!</v>
      </c>
      <c r="V42" s="619" t="e">
        <f t="shared" si="22"/>
        <v>#DIV/0!</v>
      </c>
      <c r="W42" s="619" t="e">
        <f t="shared" si="22"/>
        <v>#DIV/0!</v>
      </c>
      <c r="X42" s="603"/>
    </row>
    <row r="43" spans="1:24" outlineLevel="1">
      <c r="A43" s="494" t="s">
        <v>49</v>
      </c>
      <c r="B43" s="612"/>
      <c r="C43" s="611"/>
      <c r="D43" s="619">
        <f t="shared" si="21"/>
        <v>0</v>
      </c>
      <c r="E43" s="619">
        <f t="shared" si="21"/>
        <v>0</v>
      </c>
      <c r="F43" s="619">
        <f t="shared" si="21"/>
        <v>0</v>
      </c>
      <c r="G43" s="619">
        <f t="shared" si="21"/>
        <v>0</v>
      </c>
      <c r="H43" s="619">
        <f t="shared" si="21"/>
        <v>0</v>
      </c>
      <c r="I43" s="619">
        <f t="shared" si="21"/>
        <v>0</v>
      </c>
      <c r="J43" s="619">
        <f t="shared" si="21"/>
        <v>0</v>
      </c>
      <c r="K43" s="619">
        <f t="shared" si="21"/>
        <v>0</v>
      </c>
      <c r="L43" s="611">
        <f t="shared" si="16"/>
        <v>0</v>
      </c>
      <c r="M43" s="611">
        <f t="shared" si="17"/>
        <v>0</v>
      </c>
      <c r="N43" s="619">
        <f t="shared" si="18"/>
        <v>0</v>
      </c>
      <c r="O43" s="619" t="e">
        <f t="shared" si="22"/>
        <v>#DIV/0!</v>
      </c>
      <c r="P43" s="619" t="e">
        <f t="shared" si="22"/>
        <v>#DIV/0!</v>
      </c>
      <c r="Q43" s="619" t="e">
        <f t="shared" si="22"/>
        <v>#DIV/0!</v>
      </c>
      <c r="R43" s="619" t="e">
        <f t="shared" si="22"/>
        <v>#DIV/0!</v>
      </c>
      <c r="S43" s="619" t="e">
        <f t="shared" si="22"/>
        <v>#DIV/0!</v>
      </c>
      <c r="T43" s="619" t="e">
        <f t="shared" si="22"/>
        <v>#DIV/0!</v>
      </c>
      <c r="U43" s="619" t="e">
        <f t="shared" si="22"/>
        <v>#DIV/0!</v>
      </c>
      <c r="V43" s="619" t="e">
        <f t="shared" si="22"/>
        <v>#DIV/0!</v>
      </c>
      <c r="W43" s="619" t="e">
        <f t="shared" si="22"/>
        <v>#DIV/0!</v>
      </c>
      <c r="X43" s="603"/>
    </row>
    <row r="44" spans="1:24" outlineLevel="1">
      <c r="A44" s="494" t="s">
        <v>53</v>
      </c>
      <c r="B44" s="612"/>
      <c r="C44" s="611"/>
      <c r="D44" s="619">
        <f t="shared" si="21"/>
        <v>0</v>
      </c>
      <c r="E44" s="619">
        <f t="shared" si="21"/>
        <v>0</v>
      </c>
      <c r="F44" s="619">
        <f t="shared" si="21"/>
        <v>0</v>
      </c>
      <c r="G44" s="619">
        <f t="shared" si="21"/>
        <v>803960</v>
      </c>
      <c r="H44" s="619">
        <f t="shared" si="21"/>
        <v>-324873.54000000004</v>
      </c>
      <c r="I44" s="619">
        <f t="shared" si="21"/>
        <v>-1558.1499999999651</v>
      </c>
      <c r="J44" s="619">
        <f t="shared" si="21"/>
        <v>160981.65999999997</v>
      </c>
      <c r="K44" s="619">
        <f t="shared" si="21"/>
        <v>107764.00000000012</v>
      </c>
      <c r="L44" s="611">
        <f t="shared" si="16"/>
        <v>127701.99399999999</v>
      </c>
      <c r="M44" s="611">
        <f t="shared" si="17"/>
        <v>401980</v>
      </c>
      <c r="N44" s="619">
        <f t="shared" si="18"/>
        <v>1665606.0299999998</v>
      </c>
      <c r="O44" s="619" t="e">
        <f t="shared" si="22"/>
        <v>#DIV/0!</v>
      </c>
      <c r="P44" s="619" t="e">
        <f t="shared" si="22"/>
        <v>#DIV/0!</v>
      </c>
      <c r="Q44" s="619" t="e">
        <f t="shared" si="22"/>
        <v>#DIV/0!</v>
      </c>
      <c r="R44" s="619" t="e">
        <f t="shared" si="22"/>
        <v>#DIV/0!</v>
      </c>
      <c r="S44" s="619" t="e">
        <f t="shared" si="22"/>
        <v>#DIV/0!</v>
      </c>
      <c r="T44" s="619" t="e">
        <f t="shared" si="22"/>
        <v>#DIV/0!</v>
      </c>
      <c r="U44" s="619" t="e">
        <f t="shared" si="22"/>
        <v>#DIV/0!</v>
      </c>
      <c r="V44" s="619" t="e">
        <f t="shared" si="22"/>
        <v>#DIV/0!</v>
      </c>
      <c r="W44" s="619" t="e">
        <f t="shared" si="22"/>
        <v>#DIV/0!</v>
      </c>
      <c r="X44" s="603"/>
    </row>
    <row r="45" spans="1:24" outlineLevel="1">
      <c r="A45" s="494" t="s">
        <v>42</v>
      </c>
      <c r="B45" s="612"/>
      <c r="C45" s="611"/>
      <c r="D45" s="619">
        <f t="shared" si="21"/>
        <v>0</v>
      </c>
      <c r="E45" s="619">
        <f t="shared" si="21"/>
        <v>0</v>
      </c>
      <c r="F45" s="619">
        <f t="shared" si="21"/>
        <v>821272</v>
      </c>
      <c r="G45" s="619">
        <f t="shared" si="21"/>
        <v>-21683</v>
      </c>
      <c r="H45" s="619">
        <f t="shared" si="21"/>
        <v>-260285</v>
      </c>
      <c r="I45" s="619">
        <f t="shared" si="21"/>
        <v>-45162</v>
      </c>
      <c r="J45" s="619">
        <f t="shared" si="21"/>
        <v>214204</v>
      </c>
      <c r="K45" s="619">
        <f t="shared" si="21"/>
        <v>-46197.119999999995</v>
      </c>
      <c r="L45" s="611">
        <f t="shared" si="16"/>
        <v>141669.20000000001</v>
      </c>
      <c r="M45" s="611">
        <f t="shared" si="17"/>
        <v>399794.5</v>
      </c>
      <c r="N45" s="619">
        <f t="shared" si="18"/>
        <v>1736618.12</v>
      </c>
      <c r="O45" s="619" t="e">
        <f t="shared" si="22"/>
        <v>#DIV/0!</v>
      </c>
      <c r="P45" s="619" t="e">
        <f t="shared" si="22"/>
        <v>#DIV/0!</v>
      </c>
      <c r="Q45" s="619" t="e">
        <f t="shared" si="22"/>
        <v>#DIV/0!</v>
      </c>
      <c r="R45" s="619" t="e">
        <f t="shared" si="22"/>
        <v>#DIV/0!</v>
      </c>
      <c r="S45" s="619" t="e">
        <f t="shared" si="22"/>
        <v>#DIV/0!</v>
      </c>
      <c r="T45" s="619" t="e">
        <f t="shared" si="22"/>
        <v>#DIV/0!</v>
      </c>
      <c r="U45" s="619" t="e">
        <f t="shared" si="22"/>
        <v>#DIV/0!</v>
      </c>
      <c r="V45" s="619" t="e">
        <f t="shared" si="22"/>
        <v>#DIV/0!</v>
      </c>
      <c r="W45" s="619" t="e">
        <f t="shared" si="22"/>
        <v>#DIV/0!</v>
      </c>
      <c r="X45" s="603"/>
    </row>
    <row r="46" spans="1:24" outlineLevel="1">
      <c r="A46" s="494" t="s">
        <v>54</v>
      </c>
      <c r="B46" s="612"/>
      <c r="C46" s="611"/>
      <c r="D46" s="619">
        <f t="shared" si="21"/>
        <v>0</v>
      </c>
      <c r="E46" s="619">
        <f t="shared" si="21"/>
        <v>2892861</v>
      </c>
      <c r="F46" s="619">
        <f t="shared" si="21"/>
        <v>-259886</v>
      </c>
      <c r="G46" s="619">
        <f t="shared" si="21"/>
        <v>-12527</v>
      </c>
      <c r="H46" s="619">
        <f t="shared" si="21"/>
        <v>-798768</v>
      </c>
      <c r="I46" s="619">
        <f t="shared" si="21"/>
        <v>245881</v>
      </c>
      <c r="J46" s="619">
        <f t="shared" si="21"/>
        <v>677694</v>
      </c>
      <c r="K46" s="619">
        <f t="shared" si="21"/>
        <v>349718</v>
      </c>
      <c r="L46" s="611">
        <f t="shared" si="16"/>
        <v>-29521.200000000001</v>
      </c>
      <c r="M46" s="611">
        <f t="shared" si="17"/>
        <v>-136206.5</v>
      </c>
      <c r="N46" s="619">
        <f t="shared" si="18"/>
        <v>-1019351</v>
      </c>
      <c r="O46" s="619">
        <f t="shared" si="22"/>
        <v>-98171.474210237386</v>
      </c>
      <c r="P46" s="619">
        <f t="shared" si="22"/>
        <v>-651287.15853557386</v>
      </c>
      <c r="Q46" s="619">
        <f t="shared" si="22"/>
        <v>-62724.047445515636</v>
      </c>
      <c r="R46" s="619">
        <f t="shared" si="22"/>
        <v>-59757.364587963093</v>
      </c>
      <c r="S46" s="619">
        <f t="shared" si="22"/>
        <v>-56930.998045057524</v>
      </c>
      <c r="T46" s="619">
        <f t="shared" si="22"/>
        <v>-54238.311223302968</v>
      </c>
      <c r="U46" s="619">
        <f t="shared" si="22"/>
        <v>-51672.981422662386</v>
      </c>
      <c r="V46" s="619">
        <f t="shared" si="22"/>
        <v>-49228.984990219004</v>
      </c>
      <c r="W46" s="619">
        <f t="shared" si="22"/>
        <v>-46900.583176033455</v>
      </c>
      <c r="X46" s="603"/>
    </row>
    <row r="47" spans="1:24" outlineLevel="1">
      <c r="A47" s="494" t="s">
        <v>438</v>
      </c>
      <c r="B47" s="612"/>
      <c r="C47" s="611"/>
      <c r="D47" s="619">
        <f t="shared" ref="D47:K48" si="23">D24-C24</f>
        <v>0</v>
      </c>
      <c r="E47" s="619">
        <f t="shared" si="23"/>
        <v>0</v>
      </c>
      <c r="F47" s="619">
        <f t="shared" si="23"/>
        <v>0</v>
      </c>
      <c r="G47" s="619">
        <f t="shared" si="23"/>
        <v>0</v>
      </c>
      <c r="H47" s="619">
        <f t="shared" si="23"/>
        <v>0</v>
      </c>
      <c r="I47" s="619">
        <f t="shared" si="23"/>
        <v>0</v>
      </c>
      <c r="J47" s="619">
        <f t="shared" si="23"/>
        <v>0</v>
      </c>
      <c r="K47" s="619">
        <f t="shared" si="23"/>
        <v>0</v>
      </c>
      <c r="L47" s="611">
        <f t="shared" si="16"/>
        <v>0</v>
      </c>
      <c r="M47" s="611">
        <f t="shared" si="17"/>
        <v>0</v>
      </c>
      <c r="N47" s="619">
        <f t="shared" si="18"/>
        <v>0</v>
      </c>
      <c r="O47" s="619" t="e">
        <f t="shared" ref="O47:W48" si="24">O24-N24</f>
        <v>#DIV/0!</v>
      </c>
      <c r="P47" s="619" t="e">
        <f t="shared" si="24"/>
        <v>#DIV/0!</v>
      </c>
      <c r="Q47" s="619" t="e">
        <f t="shared" si="24"/>
        <v>#DIV/0!</v>
      </c>
      <c r="R47" s="619" t="e">
        <f t="shared" si="24"/>
        <v>#DIV/0!</v>
      </c>
      <c r="S47" s="619" t="e">
        <f t="shared" si="24"/>
        <v>#DIV/0!</v>
      </c>
      <c r="T47" s="619" t="e">
        <f t="shared" si="24"/>
        <v>#DIV/0!</v>
      </c>
      <c r="U47" s="619" t="e">
        <f t="shared" si="24"/>
        <v>#DIV/0!</v>
      </c>
      <c r="V47" s="619" t="e">
        <f t="shared" si="24"/>
        <v>#DIV/0!</v>
      </c>
      <c r="W47" s="619" t="e">
        <f t="shared" si="24"/>
        <v>#DIV/0!</v>
      </c>
      <c r="X47" s="603"/>
    </row>
    <row r="48" spans="1:24" outlineLevel="1">
      <c r="A48" s="494"/>
      <c r="B48" s="612"/>
      <c r="C48" s="611"/>
      <c r="D48" s="619">
        <f t="shared" si="23"/>
        <v>44646000</v>
      </c>
      <c r="E48" s="619">
        <f t="shared" si="23"/>
        <v>4798409.4399999976</v>
      </c>
      <c r="F48" s="619">
        <f t="shared" si="23"/>
        <v>-95192.639999993145</v>
      </c>
      <c r="G48" s="619">
        <f t="shared" si="23"/>
        <v>644393.96999999881</v>
      </c>
      <c r="H48" s="619">
        <f t="shared" si="23"/>
        <v>-16925711.43</v>
      </c>
      <c r="I48" s="619">
        <f t="shared" si="23"/>
        <v>-3076744.9300000034</v>
      </c>
      <c r="J48" s="619">
        <f t="shared" si="23"/>
        <v>14307009.619999994</v>
      </c>
      <c r="K48" s="619">
        <f t="shared" si="23"/>
        <v>-37192204.899999991</v>
      </c>
      <c r="L48" s="611">
        <f t="shared" si="16"/>
        <v>-1029249.0820000008</v>
      </c>
      <c r="M48" s="611">
        <f t="shared" si="17"/>
        <v>274600.66500000283</v>
      </c>
      <c r="N48" s="619">
        <f t="shared" si="18"/>
        <v>44031901.600000001</v>
      </c>
      <c r="O48" s="619" t="e">
        <f t="shared" si="24"/>
        <v>#DIV/0!</v>
      </c>
      <c r="P48" s="619" t="e">
        <f t="shared" si="24"/>
        <v>#DIV/0!</v>
      </c>
      <c r="Q48" s="619" t="e">
        <f t="shared" si="24"/>
        <v>#DIV/0!</v>
      </c>
      <c r="R48" s="619" t="e">
        <f t="shared" si="24"/>
        <v>#DIV/0!</v>
      </c>
      <c r="S48" s="619" t="e">
        <f t="shared" si="24"/>
        <v>#DIV/0!</v>
      </c>
      <c r="T48" s="619" t="e">
        <f t="shared" si="24"/>
        <v>#DIV/0!</v>
      </c>
      <c r="U48" s="619" t="e">
        <f t="shared" si="24"/>
        <v>#DIV/0!</v>
      </c>
      <c r="V48" s="619" t="e">
        <f t="shared" si="24"/>
        <v>#DIV/0!</v>
      </c>
      <c r="W48" s="619" t="e">
        <f t="shared" si="24"/>
        <v>#DIV/0!</v>
      </c>
      <c r="X48" s="603"/>
    </row>
    <row r="49" spans="1:24" s="633" customFormat="1">
      <c r="A49" s="615" t="s">
        <v>203</v>
      </c>
      <c r="B49" s="615"/>
      <c r="C49" s="617"/>
      <c r="D49" s="617">
        <f t="shared" ref="D49:K49" si="25">SUM(D30:D48)</f>
        <v>46355000</v>
      </c>
      <c r="E49" s="617">
        <f t="shared" si="25"/>
        <v>9596818.8799999971</v>
      </c>
      <c r="F49" s="617">
        <f t="shared" si="25"/>
        <v>-190385.27999999293</v>
      </c>
      <c r="G49" s="617">
        <f t="shared" si="25"/>
        <v>1288787.9399999988</v>
      </c>
      <c r="H49" s="617">
        <f t="shared" si="25"/>
        <v>-33851422.859999999</v>
      </c>
      <c r="I49" s="617">
        <f t="shared" si="25"/>
        <v>-6153489.8600000031</v>
      </c>
      <c r="J49" s="617">
        <f t="shared" si="25"/>
        <v>28614019.239999995</v>
      </c>
      <c r="K49" s="617">
        <f t="shared" si="25"/>
        <v>-74384409.799999982</v>
      </c>
      <c r="L49" s="618">
        <f>AVERAGE(F49:J49)</f>
        <v>-2058498.1640000015</v>
      </c>
      <c r="M49" s="618">
        <f>AVERAGE(F49:G49)</f>
        <v>549201.33000000287</v>
      </c>
      <c r="N49" s="620">
        <f>N25-K25</f>
        <v>44031901.600000001</v>
      </c>
      <c r="O49" s="620" t="e">
        <f t="shared" ref="O49:W49" si="26">O25-N25</f>
        <v>#DIV/0!</v>
      </c>
      <c r="P49" s="620" t="e">
        <f t="shared" si="26"/>
        <v>#DIV/0!</v>
      </c>
      <c r="Q49" s="620" t="e">
        <f t="shared" si="26"/>
        <v>#DIV/0!</v>
      </c>
      <c r="R49" s="620" t="e">
        <f t="shared" si="26"/>
        <v>#DIV/0!</v>
      </c>
      <c r="S49" s="620" t="e">
        <f t="shared" si="26"/>
        <v>#DIV/0!</v>
      </c>
      <c r="T49" s="620" t="e">
        <f t="shared" si="26"/>
        <v>#DIV/0!</v>
      </c>
      <c r="U49" s="620" t="e">
        <f t="shared" si="26"/>
        <v>#DIV/0!</v>
      </c>
      <c r="V49" s="620" t="e">
        <f t="shared" si="26"/>
        <v>#DIV/0!</v>
      </c>
      <c r="W49" s="620" t="e">
        <f t="shared" si="26"/>
        <v>#DIV/0!</v>
      </c>
      <c r="X49" s="625"/>
    </row>
    <row r="51" spans="1:24">
      <c r="A51" s="603">
        <v>3</v>
      </c>
      <c r="B51" s="603" t="s">
        <v>264</v>
      </c>
      <c r="C51" s="1923" t="s">
        <v>453</v>
      </c>
      <c r="D51" s="1923"/>
      <c r="E51" s="1923"/>
      <c r="F51" s="1923"/>
      <c r="G51" s="1923"/>
      <c r="H51" s="1923"/>
      <c r="I51" s="1923"/>
      <c r="J51" s="1923"/>
      <c r="K51" s="604"/>
      <c r="L51" s="604"/>
      <c r="M51" s="603"/>
      <c r="N51" s="603"/>
      <c r="O51" s="603"/>
      <c r="P51" s="603"/>
      <c r="Q51" s="603"/>
      <c r="R51" s="603"/>
      <c r="S51" s="603"/>
      <c r="T51" s="603"/>
      <c r="U51" s="603"/>
      <c r="V51" s="603"/>
      <c r="W51" s="603"/>
      <c r="X51" s="603"/>
    </row>
    <row r="52" spans="1:24">
      <c r="A52" s="603"/>
      <c r="B52" s="603" t="s">
        <v>357</v>
      </c>
      <c r="C52" s="494">
        <v>2015</v>
      </c>
      <c r="D52" s="494" t="s">
        <v>303</v>
      </c>
      <c r="E52" s="494" t="s">
        <v>304</v>
      </c>
      <c r="F52" s="494" t="s">
        <v>305</v>
      </c>
      <c r="G52" s="494" t="s">
        <v>306</v>
      </c>
      <c r="H52" s="494" t="s">
        <v>307</v>
      </c>
      <c r="I52" s="494" t="s">
        <v>308</v>
      </c>
      <c r="J52" s="494" t="s">
        <v>309</v>
      </c>
      <c r="K52" s="494" t="s">
        <v>340</v>
      </c>
      <c r="L52" s="494" t="s">
        <v>153</v>
      </c>
      <c r="M52" s="494" t="s">
        <v>356</v>
      </c>
      <c r="N52" s="494" t="s">
        <v>341</v>
      </c>
      <c r="O52" s="494" t="s">
        <v>342</v>
      </c>
      <c r="P52" s="494" t="s">
        <v>343</v>
      </c>
      <c r="Q52" s="494" t="s">
        <v>344</v>
      </c>
      <c r="R52" s="494" t="s">
        <v>345</v>
      </c>
      <c r="S52" s="494" t="s">
        <v>346</v>
      </c>
      <c r="T52" s="494" t="s">
        <v>347</v>
      </c>
      <c r="U52" s="494" t="s">
        <v>348</v>
      </c>
      <c r="V52" s="494" t="s">
        <v>349</v>
      </c>
      <c r="W52" s="494" t="s">
        <v>350</v>
      </c>
      <c r="X52" s="494" t="s">
        <v>353</v>
      </c>
    </row>
    <row r="53" spans="1:24">
      <c r="A53" s="603" t="s">
        <v>16</v>
      </c>
      <c r="B53" s="605"/>
      <c r="C53" s="494"/>
      <c r="D53" s="621" t="e">
        <f>D29/#REF!</f>
        <v>#REF!</v>
      </c>
      <c r="E53" s="621">
        <f t="shared" ref="E53:K54" si="27">E29/D6</f>
        <v>-1.1247002080324369E-2</v>
      </c>
      <c r="F53" s="621">
        <f t="shared" si="27"/>
        <v>4.6850584694225483E-3</v>
      </c>
      <c r="G53" s="621">
        <f t="shared" si="27"/>
        <v>2.0843059471947353E-2</v>
      </c>
      <c r="H53" s="621">
        <f t="shared" si="27"/>
        <v>-0.25805802509786707</v>
      </c>
      <c r="I53" s="621">
        <f t="shared" si="27"/>
        <v>-8.613201931577627E-2</v>
      </c>
      <c r="J53" s="621">
        <f t="shared" si="27"/>
        <v>0.43832358869802174</v>
      </c>
      <c r="K53" s="621">
        <f t="shared" si="27"/>
        <v>9.1597358519450903E-2</v>
      </c>
      <c r="L53" s="622">
        <f t="shared" ref="L53:L72" si="28">AVERAGE(F53:J53)</f>
        <v>2.3932332445149661E-2</v>
      </c>
      <c r="M53" s="622">
        <f t="shared" ref="M53:M72" si="29">AVERAGE(F53:G53)</f>
        <v>1.2764058970684951E-2</v>
      </c>
      <c r="N53" s="623">
        <f t="shared" ref="N53:N72" si="30">N29/K6</f>
        <v>-1.0016839007477039E-2</v>
      </c>
      <c r="O53" s="623">
        <f t="shared" ref="O53:O72" si="31">M53</f>
        <v>1.2764058970684951E-2</v>
      </c>
      <c r="P53" s="623">
        <f t="shared" ref="P53:W68" si="32">O53</f>
        <v>1.2764058970684951E-2</v>
      </c>
      <c r="Q53" s="623">
        <f t="shared" si="32"/>
        <v>1.2764058970684951E-2</v>
      </c>
      <c r="R53" s="623">
        <f t="shared" si="32"/>
        <v>1.2764058970684951E-2</v>
      </c>
      <c r="S53" s="623">
        <f t="shared" si="32"/>
        <v>1.2764058970684951E-2</v>
      </c>
      <c r="T53" s="623">
        <f t="shared" si="32"/>
        <v>1.2764058970684951E-2</v>
      </c>
      <c r="U53" s="623">
        <f t="shared" si="32"/>
        <v>1.2764058970684951E-2</v>
      </c>
      <c r="V53" s="623">
        <f t="shared" si="32"/>
        <v>1.2764058970684951E-2</v>
      </c>
      <c r="W53" s="623">
        <f t="shared" si="32"/>
        <v>1.2764058970684951E-2</v>
      </c>
      <c r="X53" s="494"/>
    </row>
    <row r="54" spans="1:24">
      <c r="A54" s="494" t="s">
        <v>40</v>
      </c>
      <c r="B54" s="605"/>
      <c r="C54" s="619"/>
      <c r="D54" s="621" t="e">
        <f>D30/#REF!</f>
        <v>#REF!</v>
      </c>
      <c r="E54" s="621" t="e">
        <f t="shared" si="27"/>
        <v>#DIV/0!</v>
      </c>
      <c r="F54" s="621" t="e">
        <f t="shared" si="27"/>
        <v>#DIV/0!</v>
      </c>
      <c r="G54" s="621" t="e">
        <f t="shared" si="27"/>
        <v>#DIV/0!</v>
      </c>
      <c r="H54" s="621" t="e">
        <f t="shared" si="27"/>
        <v>#DIV/0!</v>
      </c>
      <c r="I54" s="621" t="e">
        <f t="shared" si="27"/>
        <v>#DIV/0!</v>
      </c>
      <c r="J54" s="621" t="e">
        <f t="shared" si="27"/>
        <v>#DIV/0!</v>
      </c>
      <c r="K54" s="621" t="e">
        <f t="shared" si="27"/>
        <v>#DIV/0!</v>
      </c>
      <c r="L54" s="622" t="e">
        <f t="shared" si="28"/>
        <v>#DIV/0!</v>
      </c>
      <c r="M54" s="622" t="e">
        <f t="shared" si="29"/>
        <v>#DIV/0!</v>
      </c>
      <c r="N54" s="623" t="e">
        <f t="shared" si="30"/>
        <v>#DIV/0!</v>
      </c>
      <c r="O54" s="623" t="e">
        <f t="shared" si="31"/>
        <v>#DIV/0!</v>
      </c>
      <c r="P54" s="623" t="e">
        <f t="shared" si="32"/>
        <v>#DIV/0!</v>
      </c>
      <c r="Q54" s="623" t="e">
        <f t="shared" si="32"/>
        <v>#DIV/0!</v>
      </c>
      <c r="R54" s="623" t="e">
        <f t="shared" si="32"/>
        <v>#DIV/0!</v>
      </c>
      <c r="S54" s="623" t="e">
        <f t="shared" si="32"/>
        <v>#DIV/0!</v>
      </c>
      <c r="T54" s="623" t="e">
        <f t="shared" si="32"/>
        <v>#DIV/0!</v>
      </c>
      <c r="U54" s="623" t="e">
        <f t="shared" si="32"/>
        <v>#DIV/0!</v>
      </c>
      <c r="V54" s="623" t="e">
        <f t="shared" si="32"/>
        <v>#DIV/0!</v>
      </c>
      <c r="W54" s="623" t="e">
        <f t="shared" si="32"/>
        <v>#DIV/0!</v>
      </c>
      <c r="X54" s="603"/>
    </row>
    <row r="55" spans="1:24">
      <c r="A55" s="494" t="s">
        <v>59</v>
      </c>
      <c r="B55" s="605"/>
      <c r="C55" s="619"/>
      <c r="D55" s="621" t="e">
        <f>D31/#REF!</f>
        <v>#REF!</v>
      </c>
      <c r="E55" s="621" t="e">
        <f t="shared" ref="E55:K70" si="33">E31/D8</f>
        <v>#DIV/0!</v>
      </c>
      <c r="F55" s="621">
        <f t="shared" si="33"/>
        <v>-2.1355614259824924E-2</v>
      </c>
      <c r="G55" s="621">
        <f t="shared" si="33"/>
        <v>-2.633242560098204E-3</v>
      </c>
      <c r="H55" s="621">
        <f t="shared" si="33"/>
        <v>-0.31569229197647203</v>
      </c>
      <c r="I55" s="621">
        <f t="shared" si="33"/>
        <v>-2.6673700026295762E-2</v>
      </c>
      <c r="J55" s="621">
        <f t="shared" si="33"/>
        <v>0.21982324659622743</v>
      </c>
      <c r="K55" s="621">
        <f t="shared" si="33"/>
        <v>0.32306342950779021</v>
      </c>
      <c r="L55" s="622">
        <f t="shared" si="28"/>
        <v>-2.9306320445292699E-2</v>
      </c>
      <c r="M55" s="622">
        <f t="shared" si="29"/>
        <v>-1.1994428409961564E-2</v>
      </c>
      <c r="N55" s="623">
        <f t="shared" si="30"/>
        <v>1.0000000000000051E-2</v>
      </c>
      <c r="O55" s="623">
        <f t="shared" si="31"/>
        <v>-1.1994428409961564E-2</v>
      </c>
      <c r="P55" s="623">
        <f t="shared" si="32"/>
        <v>-1.1994428409961564E-2</v>
      </c>
      <c r="Q55" s="623">
        <f t="shared" si="32"/>
        <v>-1.1994428409961564E-2</v>
      </c>
      <c r="R55" s="623">
        <f t="shared" si="32"/>
        <v>-1.1994428409961564E-2</v>
      </c>
      <c r="S55" s="623">
        <f t="shared" si="32"/>
        <v>-1.1994428409961564E-2</v>
      </c>
      <c r="T55" s="623">
        <f t="shared" si="32"/>
        <v>-1.1994428409961564E-2</v>
      </c>
      <c r="U55" s="623">
        <f t="shared" si="32"/>
        <v>-1.1994428409961564E-2</v>
      </c>
      <c r="V55" s="623">
        <f t="shared" si="32"/>
        <v>-1.1994428409961564E-2</v>
      </c>
      <c r="W55" s="623">
        <f t="shared" si="32"/>
        <v>-1.1994428409961564E-2</v>
      </c>
      <c r="X55" s="603"/>
    </row>
    <row r="56" spans="1:24">
      <c r="A56" s="494" t="s">
        <v>43</v>
      </c>
      <c r="B56" s="605"/>
      <c r="C56" s="619"/>
      <c r="D56" s="621" t="e">
        <f>D32/#REF!</f>
        <v>#REF!</v>
      </c>
      <c r="E56" s="621">
        <f t="shared" si="33"/>
        <v>3.8525287819737492E-3</v>
      </c>
      <c r="F56" s="621">
        <f t="shared" si="33"/>
        <v>-1.2785041724307198E-2</v>
      </c>
      <c r="G56" s="621">
        <f t="shared" si="33"/>
        <v>-2.4183523561984404E-3</v>
      </c>
      <c r="H56" s="621">
        <f t="shared" si="33"/>
        <v>-0.34022837464316463</v>
      </c>
      <c r="I56" s="621">
        <f t="shared" si="33"/>
        <v>-0.11067614436317434</v>
      </c>
      <c r="J56" s="621">
        <f t="shared" si="33"/>
        <v>0.32651169974515409</v>
      </c>
      <c r="K56" s="621">
        <f t="shared" si="33"/>
        <v>-1</v>
      </c>
      <c r="L56" s="622">
        <f t="shared" si="28"/>
        <v>-2.7919242668338107E-2</v>
      </c>
      <c r="M56" s="622">
        <f t="shared" si="29"/>
        <v>-7.6016970402528194E-3</v>
      </c>
      <c r="N56" s="623" t="e">
        <f t="shared" si="30"/>
        <v>#DIV/0!</v>
      </c>
      <c r="O56" s="623">
        <f t="shared" si="31"/>
        <v>-7.6016970402528194E-3</v>
      </c>
      <c r="P56" s="623">
        <f t="shared" si="32"/>
        <v>-7.6016970402528194E-3</v>
      </c>
      <c r="Q56" s="623">
        <f t="shared" si="32"/>
        <v>-7.6016970402528194E-3</v>
      </c>
      <c r="R56" s="623">
        <f t="shared" si="32"/>
        <v>-7.6016970402528194E-3</v>
      </c>
      <c r="S56" s="623">
        <f t="shared" si="32"/>
        <v>-7.6016970402528194E-3</v>
      </c>
      <c r="T56" s="623">
        <f t="shared" si="32"/>
        <v>-7.6016970402528194E-3</v>
      </c>
      <c r="U56" s="623">
        <f t="shared" si="32"/>
        <v>-7.6016970402528194E-3</v>
      </c>
      <c r="V56" s="623">
        <f t="shared" si="32"/>
        <v>-7.6016970402528194E-3</v>
      </c>
      <c r="W56" s="623">
        <f t="shared" si="32"/>
        <v>-7.6016970402528194E-3</v>
      </c>
      <c r="X56" s="603"/>
    </row>
    <row r="57" spans="1:24">
      <c r="A57" s="494" t="s">
        <v>44</v>
      </c>
      <c r="B57" s="605"/>
      <c r="C57" s="619"/>
      <c r="D57" s="621" t="e">
        <f>D33/#REF!</f>
        <v>#REF!</v>
      </c>
      <c r="E57" s="621" t="e">
        <f t="shared" si="33"/>
        <v>#DIV/0!</v>
      </c>
      <c r="F57" s="621" t="e">
        <f t="shared" si="33"/>
        <v>#DIV/0!</v>
      </c>
      <c r="G57" s="621" t="e">
        <f t="shared" si="33"/>
        <v>#DIV/0!</v>
      </c>
      <c r="H57" s="621" t="e">
        <f t="shared" si="33"/>
        <v>#DIV/0!</v>
      </c>
      <c r="I57" s="621" t="e">
        <f t="shared" si="33"/>
        <v>#DIV/0!</v>
      </c>
      <c r="J57" s="621" t="e">
        <f t="shared" si="33"/>
        <v>#DIV/0!</v>
      </c>
      <c r="K57" s="621" t="e">
        <f t="shared" si="33"/>
        <v>#DIV/0!</v>
      </c>
      <c r="L57" s="622" t="e">
        <f t="shared" si="28"/>
        <v>#DIV/0!</v>
      </c>
      <c r="M57" s="622" t="e">
        <f t="shared" si="29"/>
        <v>#DIV/0!</v>
      </c>
      <c r="N57" s="623" t="e">
        <f t="shared" si="30"/>
        <v>#DIV/0!</v>
      </c>
      <c r="O57" s="623" t="e">
        <f t="shared" si="31"/>
        <v>#DIV/0!</v>
      </c>
      <c r="P57" s="623" t="e">
        <f t="shared" si="32"/>
        <v>#DIV/0!</v>
      </c>
      <c r="Q57" s="623" t="e">
        <f t="shared" si="32"/>
        <v>#DIV/0!</v>
      </c>
      <c r="R57" s="623" t="e">
        <f t="shared" si="32"/>
        <v>#DIV/0!</v>
      </c>
      <c r="S57" s="623" t="e">
        <f t="shared" si="32"/>
        <v>#DIV/0!</v>
      </c>
      <c r="T57" s="623" t="e">
        <f t="shared" si="32"/>
        <v>#DIV/0!</v>
      </c>
      <c r="U57" s="623" t="e">
        <f t="shared" si="32"/>
        <v>#DIV/0!</v>
      </c>
      <c r="V57" s="623" t="e">
        <f t="shared" si="32"/>
        <v>#DIV/0!</v>
      </c>
      <c r="W57" s="623" t="e">
        <f t="shared" si="32"/>
        <v>#DIV/0!</v>
      </c>
      <c r="X57" s="603"/>
    </row>
    <row r="58" spans="1:24">
      <c r="A58" s="494" t="s">
        <v>57</v>
      </c>
      <c r="B58" s="605"/>
      <c r="C58" s="619"/>
      <c r="D58" s="621" t="e">
        <f>D34/#REF!</f>
        <v>#REF!</v>
      </c>
      <c r="E58" s="621" t="e">
        <f t="shared" si="33"/>
        <v>#DIV/0!</v>
      </c>
      <c r="F58" s="621" t="e">
        <f t="shared" si="33"/>
        <v>#DIV/0!</v>
      </c>
      <c r="G58" s="621" t="e">
        <f t="shared" si="33"/>
        <v>#DIV/0!</v>
      </c>
      <c r="H58" s="621" t="e">
        <f t="shared" si="33"/>
        <v>#DIV/0!</v>
      </c>
      <c r="I58" s="621" t="e">
        <f t="shared" si="33"/>
        <v>#DIV/0!</v>
      </c>
      <c r="J58" s="621" t="e">
        <f t="shared" si="33"/>
        <v>#DIV/0!</v>
      </c>
      <c r="K58" s="621" t="e">
        <f t="shared" si="33"/>
        <v>#DIV/0!</v>
      </c>
      <c r="L58" s="622" t="e">
        <f t="shared" si="28"/>
        <v>#DIV/0!</v>
      </c>
      <c r="M58" s="622" t="e">
        <f t="shared" si="29"/>
        <v>#DIV/0!</v>
      </c>
      <c r="N58" s="623" t="e">
        <f t="shared" si="30"/>
        <v>#DIV/0!</v>
      </c>
      <c r="O58" s="623" t="e">
        <f t="shared" si="31"/>
        <v>#DIV/0!</v>
      </c>
      <c r="P58" s="623" t="e">
        <f t="shared" si="32"/>
        <v>#DIV/0!</v>
      </c>
      <c r="Q58" s="623" t="e">
        <f t="shared" si="32"/>
        <v>#DIV/0!</v>
      </c>
      <c r="R58" s="623" t="e">
        <f t="shared" si="32"/>
        <v>#DIV/0!</v>
      </c>
      <c r="S58" s="623" t="e">
        <f t="shared" si="32"/>
        <v>#DIV/0!</v>
      </c>
      <c r="T58" s="623" t="e">
        <f t="shared" si="32"/>
        <v>#DIV/0!</v>
      </c>
      <c r="U58" s="623" t="e">
        <f t="shared" si="32"/>
        <v>#DIV/0!</v>
      </c>
      <c r="V58" s="623" t="e">
        <f t="shared" si="32"/>
        <v>#DIV/0!</v>
      </c>
      <c r="W58" s="623" t="e">
        <f t="shared" si="32"/>
        <v>#DIV/0!</v>
      </c>
      <c r="X58" s="603"/>
    </row>
    <row r="59" spans="1:24">
      <c r="A59" s="494" t="s">
        <v>55</v>
      </c>
      <c r="B59" s="605"/>
      <c r="C59" s="619"/>
      <c r="D59" s="621" t="e">
        <f>D35/#REF!</f>
        <v>#REF!</v>
      </c>
      <c r="E59" s="621" t="e">
        <f t="shared" si="33"/>
        <v>#DIV/0!</v>
      </c>
      <c r="F59" s="621" t="e">
        <f t="shared" si="33"/>
        <v>#DIV/0!</v>
      </c>
      <c r="G59" s="621" t="e">
        <f t="shared" si="33"/>
        <v>#DIV/0!</v>
      </c>
      <c r="H59" s="621" t="e">
        <f t="shared" si="33"/>
        <v>#DIV/0!</v>
      </c>
      <c r="I59" s="621" t="e">
        <f t="shared" si="33"/>
        <v>#DIV/0!</v>
      </c>
      <c r="J59" s="621" t="e">
        <f t="shared" si="33"/>
        <v>#DIV/0!</v>
      </c>
      <c r="K59" s="621">
        <f t="shared" si="33"/>
        <v>8.1752274337504718E-2</v>
      </c>
      <c r="L59" s="622" t="e">
        <f t="shared" si="28"/>
        <v>#DIV/0!</v>
      </c>
      <c r="M59" s="622" t="e">
        <f t="shared" si="29"/>
        <v>#DIV/0!</v>
      </c>
      <c r="N59" s="623">
        <f t="shared" si="30"/>
        <v>-1</v>
      </c>
      <c r="O59" s="623" t="e">
        <f t="shared" si="31"/>
        <v>#DIV/0!</v>
      </c>
      <c r="P59" s="623" t="e">
        <f t="shared" si="32"/>
        <v>#DIV/0!</v>
      </c>
      <c r="Q59" s="623" t="e">
        <f t="shared" si="32"/>
        <v>#DIV/0!</v>
      </c>
      <c r="R59" s="623" t="e">
        <f t="shared" si="32"/>
        <v>#DIV/0!</v>
      </c>
      <c r="S59" s="623" t="e">
        <f t="shared" si="32"/>
        <v>#DIV/0!</v>
      </c>
      <c r="T59" s="623" t="e">
        <f t="shared" si="32"/>
        <v>#DIV/0!</v>
      </c>
      <c r="U59" s="623" t="e">
        <f t="shared" si="32"/>
        <v>#DIV/0!</v>
      </c>
      <c r="V59" s="623" t="e">
        <f t="shared" si="32"/>
        <v>#DIV/0!</v>
      </c>
      <c r="W59" s="623" t="e">
        <f t="shared" si="32"/>
        <v>#DIV/0!</v>
      </c>
      <c r="X59" s="603"/>
    </row>
    <row r="60" spans="1:24">
      <c r="A60" s="494" t="s">
        <v>45</v>
      </c>
      <c r="B60" s="605"/>
      <c r="C60" s="619"/>
      <c r="D60" s="621" t="e">
        <f>D36/#REF!</f>
        <v>#REF!</v>
      </c>
      <c r="E60" s="621" t="e">
        <f t="shared" si="33"/>
        <v>#DIV/0!</v>
      </c>
      <c r="F60" s="621" t="e">
        <f t="shared" si="33"/>
        <v>#DIV/0!</v>
      </c>
      <c r="G60" s="621" t="e">
        <f t="shared" si="33"/>
        <v>#DIV/0!</v>
      </c>
      <c r="H60" s="621" t="e">
        <f t="shared" si="33"/>
        <v>#DIV/0!</v>
      </c>
      <c r="I60" s="621" t="e">
        <f t="shared" si="33"/>
        <v>#DIV/0!</v>
      </c>
      <c r="J60" s="621" t="e">
        <f t="shared" si="33"/>
        <v>#DIV/0!</v>
      </c>
      <c r="K60" s="621">
        <f t="shared" si="33"/>
        <v>-1</v>
      </c>
      <c r="L60" s="622" t="e">
        <f t="shared" si="28"/>
        <v>#DIV/0!</v>
      </c>
      <c r="M60" s="622" t="e">
        <f t="shared" si="29"/>
        <v>#DIV/0!</v>
      </c>
      <c r="N60" s="623" t="e">
        <f t="shared" si="30"/>
        <v>#DIV/0!</v>
      </c>
      <c r="O60" s="623" t="e">
        <f t="shared" si="31"/>
        <v>#DIV/0!</v>
      </c>
      <c r="P60" s="623" t="e">
        <f t="shared" si="32"/>
        <v>#DIV/0!</v>
      </c>
      <c r="Q60" s="623" t="e">
        <f t="shared" si="32"/>
        <v>#DIV/0!</v>
      </c>
      <c r="R60" s="623" t="e">
        <f t="shared" si="32"/>
        <v>#DIV/0!</v>
      </c>
      <c r="S60" s="623" t="e">
        <f t="shared" si="32"/>
        <v>#DIV/0!</v>
      </c>
      <c r="T60" s="623" t="e">
        <f t="shared" si="32"/>
        <v>#DIV/0!</v>
      </c>
      <c r="U60" s="623" t="e">
        <f t="shared" si="32"/>
        <v>#DIV/0!</v>
      </c>
      <c r="V60" s="623" t="e">
        <f t="shared" si="32"/>
        <v>#DIV/0!</v>
      </c>
      <c r="W60" s="623" t="e">
        <f t="shared" si="32"/>
        <v>#DIV/0!</v>
      </c>
      <c r="X60" s="603"/>
    </row>
    <row r="61" spans="1:24" outlineLevel="1">
      <c r="A61" s="494" t="s">
        <v>48</v>
      </c>
      <c r="B61" s="612"/>
      <c r="C61" s="611"/>
      <c r="D61" s="621" t="e">
        <f>D37/#REF!</f>
        <v>#REF!</v>
      </c>
      <c r="E61" s="621" t="e">
        <f t="shared" si="33"/>
        <v>#DIV/0!</v>
      </c>
      <c r="F61" s="621" t="e">
        <f t="shared" si="33"/>
        <v>#DIV/0!</v>
      </c>
      <c r="G61" s="621" t="e">
        <f t="shared" si="33"/>
        <v>#DIV/0!</v>
      </c>
      <c r="H61" s="621" t="e">
        <f t="shared" si="33"/>
        <v>#DIV/0!</v>
      </c>
      <c r="I61" s="621" t="e">
        <f t="shared" si="33"/>
        <v>#DIV/0!</v>
      </c>
      <c r="J61" s="621" t="e">
        <f t="shared" si="33"/>
        <v>#DIV/0!</v>
      </c>
      <c r="K61" s="621" t="e">
        <f t="shared" si="33"/>
        <v>#DIV/0!</v>
      </c>
      <c r="L61" s="622" t="e">
        <f t="shared" si="28"/>
        <v>#DIV/0!</v>
      </c>
      <c r="M61" s="622" t="e">
        <f t="shared" si="29"/>
        <v>#DIV/0!</v>
      </c>
      <c r="N61" s="623" t="e">
        <f t="shared" si="30"/>
        <v>#DIV/0!</v>
      </c>
      <c r="O61" s="623" t="e">
        <f t="shared" si="31"/>
        <v>#DIV/0!</v>
      </c>
      <c r="P61" s="623" t="e">
        <f t="shared" si="32"/>
        <v>#DIV/0!</v>
      </c>
      <c r="Q61" s="623" t="e">
        <f t="shared" si="32"/>
        <v>#DIV/0!</v>
      </c>
      <c r="R61" s="623" t="e">
        <f t="shared" si="32"/>
        <v>#DIV/0!</v>
      </c>
      <c r="S61" s="623" t="e">
        <f t="shared" si="32"/>
        <v>#DIV/0!</v>
      </c>
      <c r="T61" s="623" t="e">
        <f t="shared" si="32"/>
        <v>#DIV/0!</v>
      </c>
      <c r="U61" s="623" t="e">
        <f t="shared" si="32"/>
        <v>#DIV/0!</v>
      </c>
      <c r="V61" s="623" t="e">
        <f t="shared" si="32"/>
        <v>#DIV/0!</v>
      </c>
      <c r="W61" s="623" t="e">
        <f t="shared" si="32"/>
        <v>#DIV/0!</v>
      </c>
      <c r="X61" s="603"/>
    </row>
    <row r="62" spans="1:24" outlineLevel="1">
      <c r="A62" s="494" t="s">
        <v>50</v>
      </c>
      <c r="B62" s="612"/>
      <c r="C62" s="611"/>
      <c r="D62" s="621" t="e">
        <f>D38/#REF!</f>
        <v>#REF!</v>
      </c>
      <c r="E62" s="621" t="e">
        <f t="shared" si="33"/>
        <v>#DIV/0!</v>
      </c>
      <c r="F62" s="621" t="e">
        <f t="shared" si="33"/>
        <v>#DIV/0!</v>
      </c>
      <c r="G62" s="621" t="e">
        <f t="shared" si="33"/>
        <v>#DIV/0!</v>
      </c>
      <c r="H62" s="621" t="e">
        <f t="shared" si="33"/>
        <v>#DIV/0!</v>
      </c>
      <c r="I62" s="621" t="e">
        <f t="shared" si="33"/>
        <v>#DIV/0!</v>
      </c>
      <c r="J62" s="621" t="e">
        <f t="shared" si="33"/>
        <v>#DIV/0!</v>
      </c>
      <c r="K62" s="621">
        <f t="shared" si="33"/>
        <v>-1.7814959238464739E-2</v>
      </c>
      <c r="L62" s="622" t="e">
        <f t="shared" si="28"/>
        <v>#DIV/0!</v>
      </c>
      <c r="M62" s="622" t="e">
        <f t="shared" si="29"/>
        <v>#DIV/0!</v>
      </c>
      <c r="N62" s="623">
        <f t="shared" si="30"/>
        <v>-1</v>
      </c>
      <c r="O62" s="623" t="e">
        <f t="shared" si="31"/>
        <v>#DIV/0!</v>
      </c>
      <c r="P62" s="623" t="e">
        <f t="shared" si="32"/>
        <v>#DIV/0!</v>
      </c>
      <c r="Q62" s="623" t="e">
        <f t="shared" si="32"/>
        <v>#DIV/0!</v>
      </c>
      <c r="R62" s="623" t="e">
        <f t="shared" si="32"/>
        <v>#DIV/0!</v>
      </c>
      <c r="S62" s="623" t="e">
        <f t="shared" si="32"/>
        <v>#DIV/0!</v>
      </c>
      <c r="T62" s="623" t="e">
        <f t="shared" si="32"/>
        <v>#DIV/0!</v>
      </c>
      <c r="U62" s="623" t="e">
        <f t="shared" si="32"/>
        <v>#DIV/0!</v>
      </c>
      <c r="V62" s="623" t="e">
        <f t="shared" si="32"/>
        <v>#DIV/0!</v>
      </c>
      <c r="W62" s="623" t="e">
        <f t="shared" si="32"/>
        <v>#DIV/0!</v>
      </c>
      <c r="X62" s="603"/>
    </row>
    <row r="63" spans="1:24" outlineLevel="1">
      <c r="A63" s="494" t="s">
        <v>47</v>
      </c>
      <c r="B63" s="612"/>
      <c r="C63" s="611"/>
      <c r="D63" s="621" t="e">
        <f>D39/#REF!</f>
        <v>#REF!</v>
      </c>
      <c r="E63" s="621" t="e">
        <f t="shared" si="33"/>
        <v>#DIV/0!</v>
      </c>
      <c r="F63" s="621" t="e">
        <f t="shared" si="33"/>
        <v>#DIV/0!</v>
      </c>
      <c r="G63" s="621" t="e">
        <f t="shared" si="33"/>
        <v>#DIV/0!</v>
      </c>
      <c r="H63" s="621" t="e">
        <f t="shared" si="33"/>
        <v>#DIV/0!</v>
      </c>
      <c r="I63" s="621" t="e">
        <f t="shared" si="33"/>
        <v>#DIV/0!</v>
      </c>
      <c r="J63" s="621" t="e">
        <f t="shared" si="33"/>
        <v>#DIV/0!</v>
      </c>
      <c r="K63" s="621" t="e">
        <f t="shared" si="33"/>
        <v>#DIV/0!</v>
      </c>
      <c r="L63" s="622" t="e">
        <f t="shared" si="28"/>
        <v>#DIV/0!</v>
      </c>
      <c r="M63" s="622" t="e">
        <f t="shared" si="29"/>
        <v>#DIV/0!</v>
      </c>
      <c r="N63" s="623" t="e">
        <f t="shared" si="30"/>
        <v>#DIV/0!</v>
      </c>
      <c r="O63" s="623" t="e">
        <f t="shared" si="31"/>
        <v>#DIV/0!</v>
      </c>
      <c r="P63" s="623" t="e">
        <f t="shared" si="32"/>
        <v>#DIV/0!</v>
      </c>
      <c r="Q63" s="623" t="e">
        <f t="shared" si="32"/>
        <v>#DIV/0!</v>
      </c>
      <c r="R63" s="623" t="e">
        <f t="shared" si="32"/>
        <v>#DIV/0!</v>
      </c>
      <c r="S63" s="623" t="e">
        <f t="shared" si="32"/>
        <v>#DIV/0!</v>
      </c>
      <c r="T63" s="623" t="e">
        <f t="shared" si="32"/>
        <v>#DIV/0!</v>
      </c>
      <c r="U63" s="623" t="e">
        <f t="shared" si="32"/>
        <v>#DIV/0!</v>
      </c>
      <c r="V63" s="623" t="e">
        <f t="shared" si="32"/>
        <v>#DIV/0!</v>
      </c>
      <c r="W63" s="623" t="e">
        <f t="shared" si="32"/>
        <v>#DIV/0!</v>
      </c>
      <c r="X63" s="603"/>
    </row>
    <row r="64" spans="1:24" outlineLevel="1">
      <c r="A64" s="494" t="s">
        <v>52</v>
      </c>
      <c r="B64" s="612"/>
      <c r="C64" s="611"/>
      <c r="D64" s="621" t="e">
        <f>D40/#REF!</f>
        <v>#REF!</v>
      </c>
      <c r="E64" s="621" t="e">
        <f t="shared" si="33"/>
        <v>#DIV/0!</v>
      </c>
      <c r="F64" s="621">
        <f t="shared" si="33"/>
        <v>-4.6342916028110366E-2</v>
      </c>
      <c r="G64" s="621">
        <f t="shared" si="33"/>
        <v>-1.5881098833379719E-2</v>
      </c>
      <c r="H64" s="621">
        <f t="shared" si="33"/>
        <v>-0.34275000903157604</v>
      </c>
      <c r="I64" s="621">
        <f t="shared" si="33"/>
        <v>-3.0269099122746435E-2</v>
      </c>
      <c r="J64" s="621">
        <f t="shared" si="33"/>
        <v>0.21971956928055303</v>
      </c>
      <c r="K64" s="621">
        <f t="shared" si="33"/>
        <v>-1</v>
      </c>
      <c r="L64" s="622">
        <f t="shared" si="28"/>
        <v>-4.3104710747051911E-2</v>
      </c>
      <c r="M64" s="622">
        <f t="shared" si="29"/>
        <v>-3.1112007430745041E-2</v>
      </c>
      <c r="N64" s="623" t="e">
        <f t="shared" si="30"/>
        <v>#DIV/0!</v>
      </c>
      <c r="O64" s="623">
        <f t="shared" si="31"/>
        <v>-3.1112007430745041E-2</v>
      </c>
      <c r="P64" s="623">
        <f t="shared" si="32"/>
        <v>-3.1112007430745041E-2</v>
      </c>
      <c r="Q64" s="623">
        <f t="shared" si="32"/>
        <v>-3.1112007430745041E-2</v>
      </c>
      <c r="R64" s="623">
        <f t="shared" si="32"/>
        <v>-3.1112007430745041E-2</v>
      </c>
      <c r="S64" s="623">
        <f t="shared" si="32"/>
        <v>-3.1112007430745041E-2</v>
      </c>
      <c r="T64" s="623">
        <f t="shared" si="32"/>
        <v>-3.1112007430745041E-2</v>
      </c>
      <c r="U64" s="623">
        <f t="shared" si="32"/>
        <v>-3.1112007430745041E-2</v>
      </c>
      <c r="V64" s="623">
        <f t="shared" si="32"/>
        <v>-3.1112007430745041E-2</v>
      </c>
      <c r="W64" s="623">
        <f t="shared" si="32"/>
        <v>-3.1112007430745041E-2</v>
      </c>
      <c r="X64" s="603"/>
    </row>
    <row r="65" spans="1:24" outlineLevel="1">
      <c r="A65" s="494" t="s">
        <v>60</v>
      </c>
      <c r="B65" s="612"/>
      <c r="C65" s="611"/>
      <c r="D65" s="621" t="e">
        <f>D41/#REF!</f>
        <v>#REF!</v>
      </c>
      <c r="E65" s="621" t="e">
        <f t="shared" si="33"/>
        <v>#DIV/0!</v>
      </c>
      <c r="F65" s="621" t="e">
        <f t="shared" si="33"/>
        <v>#DIV/0!</v>
      </c>
      <c r="G65" s="621" t="e">
        <f t="shared" si="33"/>
        <v>#DIV/0!</v>
      </c>
      <c r="H65" s="621" t="e">
        <f t="shared" si="33"/>
        <v>#DIV/0!</v>
      </c>
      <c r="I65" s="621" t="e">
        <f t="shared" si="33"/>
        <v>#DIV/0!</v>
      </c>
      <c r="J65" s="621" t="e">
        <f t="shared" si="33"/>
        <v>#DIV/0!</v>
      </c>
      <c r="K65" s="621" t="e">
        <f t="shared" si="33"/>
        <v>#DIV/0!</v>
      </c>
      <c r="L65" s="622" t="e">
        <f t="shared" si="28"/>
        <v>#DIV/0!</v>
      </c>
      <c r="M65" s="622" t="e">
        <f t="shared" si="29"/>
        <v>#DIV/0!</v>
      </c>
      <c r="N65" s="623" t="e">
        <f t="shared" si="30"/>
        <v>#DIV/0!</v>
      </c>
      <c r="O65" s="623" t="e">
        <f t="shared" si="31"/>
        <v>#DIV/0!</v>
      </c>
      <c r="P65" s="623" t="e">
        <f t="shared" si="32"/>
        <v>#DIV/0!</v>
      </c>
      <c r="Q65" s="623" t="e">
        <f t="shared" si="32"/>
        <v>#DIV/0!</v>
      </c>
      <c r="R65" s="623" t="e">
        <f t="shared" si="32"/>
        <v>#DIV/0!</v>
      </c>
      <c r="S65" s="623" t="e">
        <f t="shared" si="32"/>
        <v>#DIV/0!</v>
      </c>
      <c r="T65" s="623" t="e">
        <f t="shared" si="32"/>
        <v>#DIV/0!</v>
      </c>
      <c r="U65" s="623" t="e">
        <f t="shared" si="32"/>
        <v>#DIV/0!</v>
      </c>
      <c r="V65" s="623" t="e">
        <f t="shared" si="32"/>
        <v>#DIV/0!</v>
      </c>
      <c r="W65" s="623" t="e">
        <f t="shared" si="32"/>
        <v>#DIV/0!</v>
      </c>
      <c r="X65" s="603"/>
    </row>
    <row r="66" spans="1:24" outlineLevel="1">
      <c r="A66" s="494" t="s">
        <v>58</v>
      </c>
      <c r="B66" s="612"/>
      <c r="C66" s="611"/>
      <c r="D66" s="621" t="e">
        <f>D42/#REF!</f>
        <v>#REF!</v>
      </c>
      <c r="E66" s="621" t="e">
        <f t="shared" si="33"/>
        <v>#DIV/0!</v>
      </c>
      <c r="F66" s="621">
        <f t="shared" si="33"/>
        <v>-7.2663369258347391E-2</v>
      </c>
      <c r="G66" s="621">
        <f t="shared" si="33"/>
        <v>-7.979140247638317E-3</v>
      </c>
      <c r="H66" s="621">
        <f t="shared" si="33"/>
        <v>-0.28232049753673355</v>
      </c>
      <c r="I66" s="621">
        <f t="shared" si="33"/>
        <v>-9.7781202260158365E-2</v>
      </c>
      <c r="J66" s="621">
        <f t="shared" si="33"/>
        <v>0.25838949746198525</v>
      </c>
      <c r="K66" s="621">
        <f t="shared" si="33"/>
        <v>-1</v>
      </c>
      <c r="L66" s="622">
        <f t="shared" si="28"/>
        <v>-4.0470942368178477E-2</v>
      </c>
      <c r="M66" s="622">
        <f t="shared" si="29"/>
        <v>-4.0321254752992856E-2</v>
      </c>
      <c r="N66" s="623" t="e">
        <f t="shared" si="30"/>
        <v>#DIV/0!</v>
      </c>
      <c r="O66" s="623">
        <f t="shared" si="31"/>
        <v>-4.0321254752992856E-2</v>
      </c>
      <c r="P66" s="623">
        <f t="shared" si="32"/>
        <v>-4.0321254752992856E-2</v>
      </c>
      <c r="Q66" s="623">
        <f t="shared" si="32"/>
        <v>-4.0321254752992856E-2</v>
      </c>
      <c r="R66" s="623">
        <f t="shared" si="32"/>
        <v>-4.0321254752992856E-2</v>
      </c>
      <c r="S66" s="623">
        <f t="shared" si="32"/>
        <v>-4.0321254752992856E-2</v>
      </c>
      <c r="T66" s="623">
        <f t="shared" si="32"/>
        <v>-4.0321254752992856E-2</v>
      </c>
      <c r="U66" s="623">
        <f t="shared" si="32"/>
        <v>-4.0321254752992856E-2</v>
      </c>
      <c r="V66" s="623">
        <f t="shared" si="32"/>
        <v>-4.0321254752992856E-2</v>
      </c>
      <c r="W66" s="623">
        <f t="shared" si="32"/>
        <v>-4.0321254752992856E-2</v>
      </c>
      <c r="X66" s="603"/>
    </row>
    <row r="67" spans="1:24" outlineLevel="1">
      <c r="A67" s="494" t="s">
        <v>49</v>
      </c>
      <c r="B67" s="612"/>
      <c r="C67" s="611"/>
      <c r="D67" s="621" t="e">
        <f>D43/#REF!</f>
        <v>#REF!</v>
      </c>
      <c r="E67" s="621" t="e">
        <f t="shared" si="33"/>
        <v>#DIV/0!</v>
      </c>
      <c r="F67" s="621" t="e">
        <f t="shared" si="33"/>
        <v>#DIV/0!</v>
      </c>
      <c r="G67" s="621" t="e">
        <f t="shared" si="33"/>
        <v>#DIV/0!</v>
      </c>
      <c r="H67" s="621" t="e">
        <f t="shared" si="33"/>
        <v>#DIV/0!</v>
      </c>
      <c r="I67" s="621" t="e">
        <f t="shared" si="33"/>
        <v>#DIV/0!</v>
      </c>
      <c r="J67" s="621" t="e">
        <f t="shared" si="33"/>
        <v>#DIV/0!</v>
      </c>
      <c r="K67" s="621" t="e">
        <f t="shared" si="33"/>
        <v>#DIV/0!</v>
      </c>
      <c r="L67" s="622" t="e">
        <f t="shared" si="28"/>
        <v>#DIV/0!</v>
      </c>
      <c r="M67" s="622" t="e">
        <f t="shared" si="29"/>
        <v>#DIV/0!</v>
      </c>
      <c r="N67" s="623" t="e">
        <f t="shared" si="30"/>
        <v>#DIV/0!</v>
      </c>
      <c r="O67" s="623" t="e">
        <f t="shared" si="31"/>
        <v>#DIV/0!</v>
      </c>
      <c r="P67" s="623" t="e">
        <f t="shared" si="32"/>
        <v>#DIV/0!</v>
      </c>
      <c r="Q67" s="623" t="e">
        <f t="shared" si="32"/>
        <v>#DIV/0!</v>
      </c>
      <c r="R67" s="623" t="e">
        <f t="shared" si="32"/>
        <v>#DIV/0!</v>
      </c>
      <c r="S67" s="623" t="e">
        <f t="shared" si="32"/>
        <v>#DIV/0!</v>
      </c>
      <c r="T67" s="623" t="e">
        <f t="shared" si="32"/>
        <v>#DIV/0!</v>
      </c>
      <c r="U67" s="623" t="e">
        <f t="shared" si="32"/>
        <v>#DIV/0!</v>
      </c>
      <c r="V67" s="623" t="e">
        <f t="shared" si="32"/>
        <v>#DIV/0!</v>
      </c>
      <c r="W67" s="623" t="e">
        <f t="shared" si="32"/>
        <v>#DIV/0!</v>
      </c>
      <c r="X67" s="603"/>
    </row>
    <row r="68" spans="1:24" outlineLevel="1">
      <c r="A68" s="494" t="s">
        <v>53</v>
      </c>
      <c r="B68" s="612"/>
      <c r="C68" s="611"/>
      <c r="D68" s="621" t="e">
        <f>D44/#REF!</f>
        <v>#REF!</v>
      </c>
      <c r="E68" s="621" t="e">
        <f t="shared" si="33"/>
        <v>#DIV/0!</v>
      </c>
      <c r="F68" s="621" t="e">
        <f t="shared" si="33"/>
        <v>#DIV/0!</v>
      </c>
      <c r="G68" s="621" t="e">
        <f t="shared" si="33"/>
        <v>#DIV/0!</v>
      </c>
      <c r="H68" s="621">
        <f t="shared" si="33"/>
        <v>-0.40409167122742429</v>
      </c>
      <c r="I68" s="621">
        <f t="shared" si="33"/>
        <v>-3.2523357057512442E-3</v>
      </c>
      <c r="J68" s="621">
        <f t="shared" si="33"/>
        <v>0.33711437966892471</v>
      </c>
      <c r="K68" s="621">
        <f t="shared" si="33"/>
        <v>0.1687741853114684</v>
      </c>
      <c r="L68" s="622" t="e">
        <f t="shared" si="28"/>
        <v>#DIV/0!</v>
      </c>
      <c r="M68" s="622" t="e">
        <f t="shared" si="29"/>
        <v>#DIV/0!</v>
      </c>
      <c r="N68" s="623">
        <f t="shared" si="30"/>
        <v>2.2318961895455089</v>
      </c>
      <c r="O68" s="623" t="e">
        <f t="shared" si="31"/>
        <v>#DIV/0!</v>
      </c>
      <c r="P68" s="623" t="e">
        <f t="shared" si="32"/>
        <v>#DIV/0!</v>
      </c>
      <c r="Q68" s="623" t="e">
        <f t="shared" si="32"/>
        <v>#DIV/0!</v>
      </c>
      <c r="R68" s="623" t="e">
        <f t="shared" si="32"/>
        <v>#DIV/0!</v>
      </c>
      <c r="S68" s="623" t="e">
        <f t="shared" si="32"/>
        <v>#DIV/0!</v>
      </c>
      <c r="T68" s="623" t="e">
        <f t="shared" si="32"/>
        <v>#DIV/0!</v>
      </c>
      <c r="U68" s="623" t="e">
        <f t="shared" si="32"/>
        <v>#DIV/0!</v>
      </c>
      <c r="V68" s="623" t="e">
        <f t="shared" si="32"/>
        <v>#DIV/0!</v>
      </c>
      <c r="W68" s="623" t="e">
        <f t="shared" si="32"/>
        <v>#DIV/0!</v>
      </c>
      <c r="X68" s="603"/>
    </row>
    <row r="69" spans="1:24" outlineLevel="1">
      <c r="A69" s="494" t="s">
        <v>42</v>
      </c>
      <c r="B69" s="612"/>
      <c r="C69" s="611"/>
      <c r="D69" s="621" t="e">
        <f>D45/#REF!</f>
        <v>#REF!</v>
      </c>
      <c r="E69" s="621" t="e">
        <f t="shared" si="33"/>
        <v>#DIV/0!</v>
      </c>
      <c r="F69" s="621" t="e">
        <f t="shared" si="33"/>
        <v>#DIV/0!</v>
      </c>
      <c r="G69" s="621">
        <f t="shared" si="33"/>
        <v>-2.6401728051120701E-2</v>
      </c>
      <c r="H69" s="621">
        <f t="shared" si="33"/>
        <v>-0.32552348769180167</v>
      </c>
      <c r="I69" s="621">
        <f t="shared" si="33"/>
        <v>-8.3741266521294114E-2</v>
      </c>
      <c r="J69" s="621">
        <f t="shared" si="33"/>
        <v>0.43348673053494746</v>
      </c>
      <c r="K69" s="621">
        <f t="shared" si="33"/>
        <v>-6.5218297272801706E-2</v>
      </c>
      <c r="L69" s="622" t="e">
        <f t="shared" si="28"/>
        <v>#DIV/0!</v>
      </c>
      <c r="M69" s="622" t="e">
        <f t="shared" si="29"/>
        <v>#DIV/0!</v>
      </c>
      <c r="N69" s="623">
        <f t="shared" si="30"/>
        <v>2.6227003812194019</v>
      </c>
      <c r="O69" s="623" t="e">
        <f t="shared" si="31"/>
        <v>#DIV/0!</v>
      </c>
      <c r="P69" s="623" t="e">
        <f t="shared" ref="P69:W73" si="34">O69</f>
        <v>#DIV/0!</v>
      </c>
      <c r="Q69" s="623" t="e">
        <f t="shared" si="34"/>
        <v>#DIV/0!</v>
      </c>
      <c r="R69" s="623" t="e">
        <f t="shared" si="34"/>
        <v>#DIV/0!</v>
      </c>
      <c r="S69" s="623" t="e">
        <f t="shared" si="34"/>
        <v>#DIV/0!</v>
      </c>
      <c r="T69" s="623" t="e">
        <f t="shared" si="34"/>
        <v>#DIV/0!</v>
      </c>
      <c r="U69" s="623" t="e">
        <f t="shared" si="34"/>
        <v>#DIV/0!</v>
      </c>
      <c r="V69" s="623" t="e">
        <f t="shared" si="34"/>
        <v>#DIV/0!</v>
      </c>
      <c r="W69" s="623" t="e">
        <f t="shared" si="34"/>
        <v>#DIV/0!</v>
      </c>
      <c r="X69" s="603"/>
    </row>
    <row r="70" spans="1:24" outlineLevel="1">
      <c r="A70" s="494" t="s">
        <v>54</v>
      </c>
      <c r="B70" s="612"/>
      <c r="C70" s="611"/>
      <c r="D70" s="621" t="e">
        <f>D46/#REF!</f>
        <v>#REF!</v>
      </c>
      <c r="E70" s="621" t="e">
        <f t="shared" si="33"/>
        <v>#DIV/0!</v>
      </c>
      <c r="F70" s="621">
        <f t="shared" si="33"/>
        <v>-8.9837016019781113E-2</v>
      </c>
      <c r="G70" s="621">
        <f t="shared" si="33"/>
        <v>-4.7577360210408377E-3</v>
      </c>
      <c r="H70" s="621">
        <f t="shared" si="33"/>
        <v>-0.3048211603512071</v>
      </c>
      <c r="I70" s="621">
        <f t="shared" si="33"/>
        <v>0.13497485837249132</v>
      </c>
      <c r="J70" s="621">
        <f t="shared" si="33"/>
        <v>0.32777460979385858</v>
      </c>
      <c r="K70" s="621">
        <f t="shared" si="33"/>
        <v>0.12738998745107466</v>
      </c>
      <c r="L70" s="622">
        <f t="shared" si="28"/>
        <v>1.2666711154864164E-2</v>
      </c>
      <c r="M70" s="622">
        <f t="shared" si="29"/>
        <v>-4.7297376020410974E-2</v>
      </c>
      <c r="N70" s="623">
        <f t="shared" si="30"/>
        <v>-0.32935699277505814</v>
      </c>
      <c r="O70" s="623">
        <f t="shared" si="31"/>
        <v>-4.7297376020410974E-2</v>
      </c>
      <c r="P70" s="623">
        <f t="shared" si="34"/>
        <v>-4.7297376020410974E-2</v>
      </c>
      <c r="Q70" s="623">
        <f t="shared" si="34"/>
        <v>-4.7297376020410974E-2</v>
      </c>
      <c r="R70" s="623">
        <f t="shared" si="34"/>
        <v>-4.7297376020410974E-2</v>
      </c>
      <c r="S70" s="623">
        <f t="shared" si="34"/>
        <v>-4.7297376020410974E-2</v>
      </c>
      <c r="T70" s="623">
        <f t="shared" si="34"/>
        <v>-4.7297376020410974E-2</v>
      </c>
      <c r="U70" s="623">
        <f t="shared" si="34"/>
        <v>-4.7297376020410974E-2</v>
      </c>
      <c r="V70" s="623">
        <f t="shared" si="34"/>
        <v>-4.7297376020410974E-2</v>
      </c>
      <c r="W70" s="623">
        <f t="shared" si="34"/>
        <v>-4.7297376020410974E-2</v>
      </c>
      <c r="X70" s="603"/>
    </row>
    <row r="71" spans="1:24" outlineLevel="1">
      <c r="A71" s="494" t="s">
        <v>438</v>
      </c>
      <c r="B71" s="612"/>
      <c r="C71" s="611"/>
      <c r="D71" s="621" t="e">
        <f>D47/#REF!</f>
        <v>#REF!</v>
      </c>
      <c r="E71" s="621" t="e">
        <f t="shared" ref="E71:K72" si="35">E47/D24</f>
        <v>#DIV/0!</v>
      </c>
      <c r="F71" s="621" t="e">
        <f t="shared" si="35"/>
        <v>#DIV/0!</v>
      </c>
      <c r="G71" s="621" t="e">
        <f t="shared" si="35"/>
        <v>#DIV/0!</v>
      </c>
      <c r="H71" s="621" t="e">
        <f t="shared" si="35"/>
        <v>#DIV/0!</v>
      </c>
      <c r="I71" s="621" t="e">
        <f t="shared" si="35"/>
        <v>#DIV/0!</v>
      </c>
      <c r="J71" s="621" t="e">
        <f t="shared" si="35"/>
        <v>#DIV/0!</v>
      </c>
      <c r="K71" s="621" t="e">
        <f t="shared" si="35"/>
        <v>#DIV/0!</v>
      </c>
      <c r="L71" s="622" t="e">
        <f t="shared" si="28"/>
        <v>#DIV/0!</v>
      </c>
      <c r="M71" s="622" t="e">
        <f t="shared" si="29"/>
        <v>#DIV/0!</v>
      </c>
      <c r="N71" s="623" t="e">
        <f t="shared" si="30"/>
        <v>#DIV/0!</v>
      </c>
      <c r="O71" s="623" t="e">
        <f t="shared" si="31"/>
        <v>#DIV/0!</v>
      </c>
      <c r="P71" s="623" t="e">
        <f t="shared" si="34"/>
        <v>#DIV/0!</v>
      </c>
      <c r="Q71" s="623" t="e">
        <f t="shared" si="34"/>
        <v>#DIV/0!</v>
      </c>
      <c r="R71" s="623" t="e">
        <f t="shared" si="34"/>
        <v>#DIV/0!</v>
      </c>
      <c r="S71" s="623" t="e">
        <f t="shared" si="34"/>
        <v>#DIV/0!</v>
      </c>
      <c r="T71" s="623" t="e">
        <f t="shared" si="34"/>
        <v>#DIV/0!</v>
      </c>
      <c r="U71" s="623" t="e">
        <f t="shared" si="34"/>
        <v>#DIV/0!</v>
      </c>
      <c r="V71" s="623" t="e">
        <f t="shared" si="34"/>
        <v>#DIV/0!</v>
      </c>
      <c r="W71" s="623" t="e">
        <f t="shared" si="34"/>
        <v>#DIV/0!</v>
      </c>
      <c r="X71" s="603"/>
    </row>
    <row r="72" spans="1:24" outlineLevel="1">
      <c r="A72" s="494"/>
      <c r="B72" s="612"/>
      <c r="C72" s="611"/>
      <c r="D72" s="621" t="e">
        <f>D48/#REF!</f>
        <v>#REF!</v>
      </c>
      <c r="E72" s="621">
        <f t="shared" si="35"/>
        <v>0.10747680508892168</v>
      </c>
      <c r="F72" s="621">
        <f t="shared" si="35"/>
        <v>-1.9252457674817189E-3</v>
      </c>
      <c r="G72" s="621">
        <f t="shared" si="35"/>
        <v>1.3057835803383992E-2</v>
      </c>
      <c r="H72" s="621">
        <f t="shared" si="35"/>
        <v>-0.33855749103356869</v>
      </c>
      <c r="I72" s="621">
        <f t="shared" si="35"/>
        <v>-9.3043253167227141E-2</v>
      </c>
      <c r="J72" s="621">
        <f t="shared" si="35"/>
        <v>0.47704097763004361</v>
      </c>
      <c r="K72" s="621">
        <f t="shared" si="35"/>
        <v>-0.83958795391186769</v>
      </c>
      <c r="L72" s="622">
        <f t="shared" si="28"/>
        <v>1.1314564693030004E-2</v>
      </c>
      <c r="M72" s="622">
        <f t="shared" si="29"/>
        <v>5.566295017951136E-3</v>
      </c>
      <c r="N72" s="623">
        <f t="shared" si="30"/>
        <v>6.1964754925349528</v>
      </c>
      <c r="O72" s="623">
        <f t="shared" si="31"/>
        <v>5.566295017951136E-3</v>
      </c>
      <c r="P72" s="623">
        <f t="shared" si="34"/>
        <v>5.566295017951136E-3</v>
      </c>
      <c r="Q72" s="623">
        <f t="shared" si="34"/>
        <v>5.566295017951136E-3</v>
      </c>
      <c r="R72" s="623">
        <f t="shared" si="34"/>
        <v>5.566295017951136E-3</v>
      </c>
      <c r="S72" s="623">
        <f t="shared" si="34"/>
        <v>5.566295017951136E-3</v>
      </c>
      <c r="T72" s="623">
        <f t="shared" si="34"/>
        <v>5.566295017951136E-3</v>
      </c>
      <c r="U72" s="623">
        <f t="shared" si="34"/>
        <v>5.566295017951136E-3</v>
      </c>
      <c r="V72" s="623">
        <f t="shared" si="34"/>
        <v>5.566295017951136E-3</v>
      </c>
      <c r="W72" s="623">
        <f t="shared" si="34"/>
        <v>5.566295017951136E-3</v>
      </c>
      <c r="X72" s="603"/>
    </row>
    <row r="73" spans="1:24" s="633" customFormat="1">
      <c r="A73" s="615" t="s">
        <v>203</v>
      </c>
      <c r="B73" s="615"/>
      <c r="C73" s="617"/>
      <c r="D73" s="624" t="e">
        <f>D49/#REF!</f>
        <v>#REF!</v>
      </c>
      <c r="E73" s="624">
        <f t="shared" ref="E73:K73" si="36">E49/D25</f>
        <v>0.21495361017784342</v>
      </c>
      <c r="F73" s="624">
        <f t="shared" si="36"/>
        <v>-3.8504915349635723E-3</v>
      </c>
      <c r="G73" s="624">
        <f t="shared" si="36"/>
        <v>2.6115671606768007E-2</v>
      </c>
      <c r="H73" s="624">
        <f t="shared" si="36"/>
        <v>-0.67711498206713738</v>
      </c>
      <c r="I73" s="624">
        <f t="shared" si="36"/>
        <v>-0.18608650633445417</v>
      </c>
      <c r="J73" s="624">
        <f t="shared" si="36"/>
        <v>0.95408195526008743</v>
      </c>
      <c r="K73" s="624">
        <f t="shared" si="36"/>
        <v>-1.6791759078237354</v>
      </c>
      <c r="L73" s="622">
        <f>AVERAGE(F73:J73)</f>
        <v>2.2629129386060053E-2</v>
      </c>
      <c r="M73" s="622">
        <f>AVERAGE(F73:G73)</f>
        <v>1.1132590035902218E-2</v>
      </c>
      <c r="N73" s="623">
        <f>N49/K25</f>
        <v>6.1964754925349528</v>
      </c>
      <c r="O73" s="623">
        <f>M73</f>
        <v>1.1132590035902218E-2</v>
      </c>
      <c r="P73" s="623">
        <f t="shared" si="34"/>
        <v>1.1132590035902218E-2</v>
      </c>
      <c r="Q73" s="623">
        <f t="shared" si="34"/>
        <v>1.1132590035902218E-2</v>
      </c>
      <c r="R73" s="623">
        <f t="shared" si="34"/>
        <v>1.1132590035902218E-2</v>
      </c>
      <c r="S73" s="623">
        <f t="shared" si="34"/>
        <v>1.1132590035902218E-2</v>
      </c>
      <c r="T73" s="623">
        <f t="shared" si="34"/>
        <v>1.1132590035902218E-2</v>
      </c>
      <c r="U73" s="623">
        <f t="shared" si="34"/>
        <v>1.1132590035902218E-2</v>
      </c>
      <c r="V73" s="623">
        <f t="shared" si="34"/>
        <v>1.1132590035902218E-2</v>
      </c>
      <c r="W73" s="623">
        <f t="shared" si="34"/>
        <v>1.1132590035902218E-2</v>
      </c>
      <c r="X73" s="625"/>
    </row>
    <row r="75" spans="1:24">
      <c r="A75" s="603">
        <v>4</v>
      </c>
      <c r="B75" s="603" t="s">
        <v>264</v>
      </c>
      <c r="C75" s="603"/>
      <c r="D75" s="603"/>
      <c r="E75" s="603"/>
      <c r="F75" s="603"/>
      <c r="G75" s="603"/>
      <c r="H75" s="603"/>
      <c r="I75" s="603"/>
    </row>
    <row r="76" spans="1:24">
      <c r="A76" s="603"/>
      <c r="B76" s="605" t="s">
        <v>357</v>
      </c>
      <c r="C76" s="615" t="s">
        <v>318</v>
      </c>
      <c r="D76" s="615"/>
      <c r="E76" s="615"/>
      <c r="F76" s="615"/>
      <c r="G76" s="615"/>
      <c r="H76" s="615"/>
      <c r="I76" s="615"/>
      <c r="J76" s="615"/>
      <c r="K76" s="603"/>
    </row>
    <row r="77" spans="1:24">
      <c r="A77" s="625"/>
      <c r="B77" s="626"/>
      <c r="C77" s="627">
        <v>2015</v>
      </c>
      <c r="D77" s="494" t="s">
        <v>303</v>
      </c>
      <c r="E77" s="494" t="s">
        <v>304</v>
      </c>
      <c r="F77" s="494" t="s">
        <v>305</v>
      </c>
      <c r="G77" s="494" t="s">
        <v>306</v>
      </c>
      <c r="H77" s="494" t="s">
        <v>307</v>
      </c>
      <c r="I77" s="494" t="s">
        <v>308</v>
      </c>
      <c r="J77" s="494" t="s">
        <v>309</v>
      </c>
      <c r="K77" s="494" t="s">
        <v>340</v>
      </c>
    </row>
    <row r="78" spans="1:24">
      <c r="A78" s="494" t="s">
        <v>40</v>
      </c>
      <c r="B78" s="609"/>
      <c r="C78" s="610"/>
      <c r="D78" s="610"/>
      <c r="E78" s="610"/>
      <c r="F78" s="610"/>
      <c r="G78" s="610"/>
      <c r="H78" s="610"/>
      <c r="I78" s="610"/>
      <c r="J78" s="610"/>
      <c r="K78" s="611"/>
    </row>
    <row r="79" spans="1:24">
      <c r="A79" s="494" t="s">
        <v>59</v>
      </c>
      <c r="B79" s="612"/>
      <c r="C79" s="610"/>
      <c r="D79" s="610"/>
      <c r="E79" s="613">
        <v>1300000</v>
      </c>
      <c r="F79" s="613">
        <v>1279000</v>
      </c>
      <c r="G79" s="613">
        <v>1287000</v>
      </c>
      <c r="H79" s="613">
        <v>905000</v>
      </c>
      <c r="I79" s="613">
        <v>864000</v>
      </c>
      <c r="J79" s="613">
        <v>1083000.71</v>
      </c>
      <c r="K79" s="613">
        <v>1106091</v>
      </c>
    </row>
    <row r="80" spans="1:24">
      <c r="A80" s="494" t="s">
        <v>43</v>
      </c>
      <c r="B80" s="612" t="s">
        <v>985</v>
      </c>
      <c r="C80" s="613">
        <v>251078000</v>
      </c>
      <c r="D80" s="613">
        <v>246506000</v>
      </c>
      <c r="E80" s="613">
        <v>243034000</v>
      </c>
      <c r="F80" s="613">
        <v>247114000</v>
      </c>
      <c r="G80" s="613">
        <v>252672000</v>
      </c>
      <c r="H80" s="613">
        <v>192254000</v>
      </c>
      <c r="I80" s="613">
        <v>166408000</v>
      </c>
      <c r="J80" s="613">
        <v>223664000</v>
      </c>
      <c r="K80" s="611"/>
    </row>
    <row r="81" spans="1:11">
      <c r="A81" s="494" t="s">
        <v>44</v>
      </c>
      <c r="B81" s="612"/>
      <c r="C81" s="610"/>
      <c r="D81" s="610"/>
      <c r="E81" s="610"/>
      <c r="F81" s="610"/>
      <c r="G81" s="610"/>
      <c r="H81" s="610"/>
      <c r="I81" s="610"/>
      <c r="J81" s="610"/>
      <c r="K81" s="611"/>
    </row>
    <row r="82" spans="1:11">
      <c r="A82" s="494" t="s">
        <v>57</v>
      </c>
      <c r="B82" s="612"/>
      <c r="C82" s="610"/>
      <c r="D82" s="610"/>
      <c r="E82" s="610"/>
      <c r="F82" s="610"/>
      <c r="G82" s="610"/>
      <c r="H82" s="610"/>
      <c r="I82" s="610"/>
      <c r="J82" s="610"/>
      <c r="K82" s="611"/>
    </row>
    <row r="83" spans="1:11">
      <c r="A83" s="494" t="s">
        <v>55</v>
      </c>
      <c r="B83" s="612"/>
      <c r="C83" s="610"/>
      <c r="D83" s="610"/>
      <c r="E83" s="610"/>
      <c r="F83" s="610"/>
      <c r="G83" s="610"/>
      <c r="H83" s="610"/>
      <c r="I83" s="610"/>
      <c r="J83" s="611"/>
      <c r="K83" s="613">
        <v>5054011</v>
      </c>
    </row>
    <row r="84" spans="1:11">
      <c r="A84" s="494" t="s">
        <v>45</v>
      </c>
      <c r="B84" s="612"/>
      <c r="C84" s="610"/>
      <c r="D84" s="610"/>
      <c r="E84" s="610"/>
      <c r="F84" s="610"/>
      <c r="G84" s="610"/>
      <c r="H84" s="610"/>
      <c r="I84" s="610"/>
      <c r="J84" s="613">
        <v>25008961</v>
      </c>
      <c r="K84" s="611"/>
    </row>
    <row r="85" spans="1:11">
      <c r="A85" s="494" t="s">
        <v>48</v>
      </c>
      <c r="B85" s="612"/>
      <c r="C85" s="610"/>
      <c r="D85" s="610"/>
      <c r="E85" s="610"/>
      <c r="F85" s="610"/>
      <c r="G85" s="610"/>
      <c r="H85" s="610"/>
      <c r="I85" s="610"/>
      <c r="J85" s="610"/>
      <c r="K85" s="611"/>
    </row>
    <row r="86" spans="1:11">
      <c r="A86" s="494" t="s">
        <v>50</v>
      </c>
      <c r="B86" s="612"/>
      <c r="C86" s="610"/>
      <c r="D86" s="610"/>
      <c r="E86" s="610"/>
      <c r="F86" s="610"/>
      <c r="G86" s="610"/>
      <c r="H86" s="610"/>
      <c r="I86" s="610"/>
      <c r="J86" s="613">
        <v>33030</v>
      </c>
      <c r="K86" s="613">
        <v>39078</v>
      </c>
    </row>
    <row r="87" spans="1:11">
      <c r="A87" s="494" t="s">
        <v>47</v>
      </c>
      <c r="B87" s="612"/>
      <c r="C87" s="610"/>
      <c r="D87" s="610"/>
      <c r="E87" s="610"/>
      <c r="F87" s="610"/>
      <c r="G87" s="610"/>
      <c r="H87" s="610"/>
      <c r="I87" s="610"/>
      <c r="J87" s="610"/>
      <c r="K87" s="611"/>
    </row>
    <row r="88" spans="1:11">
      <c r="A88" s="494" t="s">
        <v>52</v>
      </c>
      <c r="B88" s="612"/>
      <c r="C88" s="610"/>
      <c r="D88" s="610"/>
      <c r="E88" s="613">
        <v>3175519</v>
      </c>
      <c r="F88" s="613">
        <v>3071788</v>
      </c>
      <c r="G88" s="613">
        <v>3044788</v>
      </c>
      <c r="H88" s="613">
        <v>1971842</v>
      </c>
      <c r="I88" s="613">
        <v>1888222</v>
      </c>
      <c r="J88" s="613">
        <v>2368612</v>
      </c>
      <c r="K88" s="611"/>
    </row>
    <row r="89" spans="1:11">
      <c r="A89" s="494" t="s">
        <v>60</v>
      </c>
      <c r="B89" s="612"/>
      <c r="C89" s="610"/>
      <c r="D89" s="610"/>
      <c r="E89" s="610"/>
      <c r="F89" s="610"/>
      <c r="G89" s="610"/>
      <c r="H89" s="610"/>
      <c r="I89" s="610"/>
      <c r="J89" s="610"/>
      <c r="K89" s="611"/>
    </row>
    <row r="90" spans="1:11">
      <c r="A90" s="494" t="s">
        <v>58</v>
      </c>
      <c r="B90" s="612"/>
      <c r="C90" s="610"/>
      <c r="D90" s="610"/>
      <c r="E90" s="613">
        <v>2026337</v>
      </c>
      <c r="F90" s="613">
        <v>1999124</v>
      </c>
      <c r="G90" s="613">
        <v>2001615</v>
      </c>
      <c r="H90" s="613">
        <v>1217571</v>
      </c>
      <c r="I90" s="613">
        <v>1077876</v>
      </c>
      <c r="J90" s="613">
        <v>1421361</v>
      </c>
      <c r="K90" s="611"/>
    </row>
    <row r="91" spans="1:11">
      <c r="A91" s="494" t="s">
        <v>49</v>
      </c>
      <c r="B91" s="612"/>
      <c r="C91" s="610"/>
      <c r="D91" s="610"/>
      <c r="E91" s="610"/>
      <c r="F91" s="610"/>
      <c r="G91" s="610"/>
      <c r="H91" s="610"/>
      <c r="I91" s="610"/>
      <c r="J91" s="610"/>
      <c r="K91" s="611"/>
    </row>
    <row r="92" spans="1:11">
      <c r="A92" s="494" t="s">
        <v>53</v>
      </c>
      <c r="B92" s="612"/>
      <c r="C92" s="610"/>
      <c r="D92" s="610"/>
      <c r="E92" s="610"/>
      <c r="F92" s="610"/>
      <c r="G92" s="613">
        <v>3243591</v>
      </c>
      <c r="H92" s="613">
        <v>2006924</v>
      </c>
      <c r="I92" s="613">
        <v>1884899</v>
      </c>
      <c r="J92" s="613">
        <v>2525358</v>
      </c>
      <c r="K92" s="613">
        <v>3008208</v>
      </c>
    </row>
    <row r="93" spans="1:11">
      <c r="A93" s="494" t="s">
        <v>42</v>
      </c>
      <c r="B93" s="612"/>
      <c r="C93" s="610"/>
      <c r="D93" s="610"/>
      <c r="E93" s="610"/>
      <c r="F93" s="613">
        <v>2737000</v>
      </c>
      <c r="G93" s="613">
        <v>3879000</v>
      </c>
      <c r="H93" s="613">
        <v>1823000</v>
      </c>
      <c r="I93" s="613">
        <v>1669000</v>
      </c>
      <c r="J93" s="613">
        <v>2473714</v>
      </c>
      <c r="K93" s="614">
        <v>2329280</v>
      </c>
    </row>
    <row r="94" spans="1:11">
      <c r="A94" s="494" t="s">
        <v>54</v>
      </c>
      <c r="B94" s="612"/>
      <c r="C94" s="610"/>
      <c r="D94" s="610"/>
      <c r="E94" s="628">
        <v>11649717</v>
      </c>
      <c r="F94" s="628">
        <v>12052725</v>
      </c>
      <c r="G94" s="628">
        <v>12240740</v>
      </c>
      <c r="H94" s="628">
        <v>7785961</v>
      </c>
      <c r="I94" s="629">
        <v>16805807</v>
      </c>
      <c r="J94" s="629">
        <v>21022303</v>
      </c>
      <c r="K94" s="613">
        <v>23560678</v>
      </c>
    </row>
    <row r="96" spans="1:11">
      <c r="A96" s="631">
        <v>5</v>
      </c>
      <c r="B96" s="631" t="s">
        <v>264</v>
      </c>
      <c r="C96" s="631" t="s">
        <v>984</v>
      </c>
    </row>
    <row r="97" spans="1:11">
      <c r="B97" s="605"/>
      <c r="C97" s="631">
        <v>2015</v>
      </c>
      <c r="D97" s="631" t="s">
        <v>303</v>
      </c>
      <c r="E97" s="631" t="s">
        <v>304</v>
      </c>
      <c r="F97" s="631" t="s">
        <v>305</v>
      </c>
      <c r="G97" s="631" t="s">
        <v>306</v>
      </c>
      <c r="H97" s="631" t="s">
        <v>307</v>
      </c>
      <c r="I97" s="631" t="s">
        <v>308</v>
      </c>
      <c r="J97" s="631" t="s">
        <v>309</v>
      </c>
      <c r="K97" s="631" t="s">
        <v>340</v>
      </c>
    </row>
    <row r="98" spans="1:11">
      <c r="A98" s="631" t="s">
        <v>40</v>
      </c>
      <c r="C98" s="631" t="e">
        <f t="shared" ref="C98:J107" si="37">C7/C78</f>
        <v>#DIV/0!</v>
      </c>
      <c r="D98" s="631" t="e">
        <f t="shared" si="37"/>
        <v>#DIV/0!</v>
      </c>
      <c r="E98" s="631" t="e">
        <f t="shared" si="37"/>
        <v>#DIV/0!</v>
      </c>
      <c r="F98" s="631" t="e">
        <f t="shared" si="37"/>
        <v>#DIV/0!</v>
      </c>
      <c r="G98" s="631" t="e">
        <f t="shared" si="37"/>
        <v>#DIV/0!</v>
      </c>
      <c r="H98" s="631" t="e">
        <f t="shared" si="37"/>
        <v>#DIV/0!</v>
      </c>
      <c r="I98" s="631" t="e">
        <f t="shared" si="37"/>
        <v>#DIV/0!</v>
      </c>
      <c r="J98" s="631" t="e">
        <f t="shared" si="37"/>
        <v>#DIV/0!</v>
      </c>
    </row>
    <row r="99" spans="1:11">
      <c r="A99" s="631" t="s">
        <v>59</v>
      </c>
      <c r="C99" s="631" t="e">
        <f t="shared" si="37"/>
        <v>#DIV/0!</v>
      </c>
      <c r="D99" s="631" t="e">
        <f t="shared" si="37"/>
        <v>#DIV/0!</v>
      </c>
      <c r="E99" s="634">
        <f t="shared" si="37"/>
        <v>0.2681672769230769</v>
      </c>
      <c r="F99" s="634">
        <f t="shared" si="37"/>
        <v>0.266749429241595</v>
      </c>
      <c r="G99" s="634">
        <f t="shared" si="37"/>
        <v>0.26439326340326347</v>
      </c>
      <c r="H99" s="631">
        <f t="shared" si="37"/>
        <v>0.25729525966850836</v>
      </c>
      <c r="I99" s="631">
        <f t="shared" si="37"/>
        <v>0.26231618055555556</v>
      </c>
      <c r="J99" s="631">
        <f t="shared" si="37"/>
        <v>0.25527423707783164</v>
      </c>
    </row>
    <row r="100" spans="1:11">
      <c r="A100" s="631" t="s">
        <v>43</v>
      </c>
      <c r="C100" s="634">
        <f t="shared" si="37"/>
        <v>0.17101060228295589</v>
      </c>
      <c r="D100" s="634">
        <f t="shared" si="37"/>
        <v>0.18111526697118935</v>
      </c>
      <c r="E100" s="634">
        <f t="shared" si="37"/>
        <v>0.18441041171194153</v>
      </c>
      <c r="F100" s="634">
        <f t="shared" si="37"/>
        <v>0.17904691761697031</v>
      </c>
      <c r="G100" s="634">
        <f t="shared" si="37"/>
        <v>0.17468496707193515</v>
      </c>
      <c r="H100" s="631">
        <f t="shared" si="37"/>
        <v>0.15147149084024258</v>
      </c>
      <c r="I100" s="631">
        <f t="shared" si="37"/>
        <v>0.15562953704148838</v>
      </c>
      <c r="J100" s="631">
        <f t="shared" si="37"/>
        <v>0.15359646612776306</v>
      </c>
    </row>
    <row r="101" spans="1:11">
      <c r="A101" s="631" t="s">
        <v>44</v>
      </c>
      <c r="C101" s="631" t="e">
        <f t="shared" si="37"/>
        <v>#DIV/0!</v>
      </c>
      <c r="D101" s="631" t="e">
        <f t="shared" si="37"/>
        <v>#DIV/0!</v>
      </c>
      <c r="E101" s="631" t="e">
        <f t="shared" si="37"/>
        <v>#DIV/0!</v>
      </c>
      <c r="F101" s="631" t="e">
        <f t="shared" si="37"/>
        <v>#DIV/0!</v>
      </c>
      <c r="G101" s="631" t="e">
        <f t="shared" si="37"/>
        <v>#DIV/0!</v>
      </c>
      <c r="H101" s="631" t="e">
        <f t="shared" si="37"/>
        <v>#DIV/0!</v>
      </c>
      <c r="I101" s="631" t="e">
        <f t="shared" si="37"/>
        <v>#DIV/0!</v>
      </c>
      <c r="J101" s="631" t="e">
        <f t="shared" si="37"/>
        <v>#DIV/0!</v>
      </c>
    </row>
    <row r="102" spans="1:11">
      <c r="A102" s="631" t="s">
        <v>57</v>
      </c>
      <c r="C102" s="631" t="e">
        <f t="shared" si="37"/>
        <v>#DIV/0!</v>
      </c>
      <c r="D102" s="631" t="e">
        <f t="shared" si="37"/>
        <v>#DIV/0!</v>
      </c>
      <c r="E102" s="631" t="e">
        <f t="shared" si="37"/>
        <v>#DIV/0!</v>
      </c>
      <c r="F102" s="631" t="e">
        <f t="shared" si="37"/>
        <v>#DIV/0!</v>
      </c>
      <c r="G102" s="631" t="e">
        <f t="shared" si="37"/>
        <v>#DIV/0!</v>
      </c>
      <c r="H102" s="631" t="e">
        <f t="shared" si="37"/>
        <v>#DIV/0!</v>
      </c>
      <c r="I102" s="631" t="e">
        <f t="shared" si="37"/>
        <v>#DIV/0!</v>
      </c>
      <c r="J102" s="631" t="e">
        <f t="shared" si="37"/>
        <v>#DIV/0!</v>
      </c>
    </row>
    <row r="103" spans="1:11">
      <c r="A103" s="631" t="s">
        <v>55</v>
      </c>
      <c r="C103" s="631" t="e">
        <f t="shared" si="37"/>
        <v>#DIV/0!</v>
      </c>
      <c r="D103" s="631" t="e">
        <f t="shared" si="37"/>
        <v>#DIV/0!</v>
      </c>
      <c r="E103" s="631" t="e">
        <f t="shared" si="37"/>
        <v>#DIV/0!</v>
      </c>
      <c r="F103" s="631" t="e">
        <f t="shared" si="37"/>
        <v>#DIV/0!</v>
      </c>
      <c r="G103" s="631" t="e">
        <f t="shared" si="37"/>
        <v>#DIV/0!</v>
      </c>
      <c r="H103" s="631" t="e">
        <f t="shared" si="37"/>
        <v>#DIV/0!</v>
      </c>
      <c r="I103" s="631" t="e">
        <f t="shared" si="37"/>
        <v>#DIV/0!</v>
      </c>
      <c r="J103" s="631" t="e">
        <f t="shared" si="37"/>
        <v>#DIV/0!</v>
      </c>
    </row>
    <row r="104" spans="1:11">
      <c r="A104" s="631" t="s">
        <v>45</v>
      </c>
      <c r="C104" s="631" t="e">
        <f t="shared" si="37"/>
        <v>#DIV/0!</v>
      </c>
      <c r="D104" s="631" t="e">
        <f t="shared" si="37"/>
        <v>#DIV/0!</v>
      </c>
      <c r="E104" s="631" t="e">
        <f t="shared" si="37"/>
        <v>#DIV/0!</v>
      </c>
      <c r="F104" s="631" t="e">
        <f t="shared" si="37"/>
        <v>#DIV/0!</v>
      </c>
      <c r="G104" s="631" t="e">
        <f t="shared" si="37"/>
        <v>#DIV/0!</v>
      </c>
      <c r="H104" s="631" t="e">
        <f t="shared" si="37"/>
        <v>#DIV/0!</v>
      </c>
      <c r="I104" s="631" t="e">
        <f t="shared" si="37"/>
        <v>#DIV/0!</v>
      </c>
      <c r="J104" s="631">
        <f t="shared" si="37"/>
        <v>9.7511420006612823E-2</v>
      </c>
    </row>
    <row r="105" spans="1:11">
      <c r="A105" s="631" t="s">
        <v>48</v>
      </c>
      <c r="C105" s="631" t="e">
        <f t="shared" si="37"/>
        <v>#DIV/0!</v>
      </c>
      <c r="D105" s="631" t="e">
        <f t="shared" si="37"/>
        <v>#DIV/0!</v>
      </c>
      <c r="E105" s="631" t="e">
        <f t="shared" si="37"/>
        <v>#DIV/0!</v>
      </c>
      <c r="F105" s="631" t="e">
        <f t="shared" si="37"/>
        <v>#DIV/0!</v>
      </c>
      <c r="G105" s="631" t="e">
        <f t="shared" si="37"/>
        <v>#DIV/0!</v>
      </c>
      <c r="H105" s="631" t="e">
        <f t="shared" si="37"/>
        <v>#DIV/0!</v>
      </c>
      <c r="I105" s="631" t="e">
        <f t="shared" si="37"/>
        <v>#DIV/0!</v>
      </c>
      <c r="J105" s="631" t="e">
        <f t="shared" si="37"/>
        <v>#DIV/0!</v>
      </c>
    </row>
    <row r="106" spans="1:11">
      <c r="A106" s="631" t="s">
        <v>50</v>
      </c>
      <c r="C106" s="631" t="e">
        <f t="shared" si="37"/>
        <v>#DIV/0!</v>
      </c>
      <c r="D106" s="631" t="e">
        <f t="shared" si="37"/>
        <v>#DIV/0!</v>
      </c>
      <c r="E106" s="631" t="e">
        <f t="shared" si="37"/>
        <v>#DIV/0!</v>
      </c>
      <c r="F106" s="631" t="e">
        <f t="shared" si="37"/>
        <v>#DIV/0!</v>
      </c>
      <c r="G106" s="631" t="e">
        <f t="shared" si="37"/>
        <v>#DIV/0!</v>
      </c>
      <c r="H106" s="631" t="e">
        <f t="shared" si="37"/>
        <v>#DIV/0!</v>
      </c>
      <c r="I106" s="631" t="e">
        <f t="shared" si="37"/>
        <v>#DIV/0!</v>
      </c>
      <c r="J106" s="631">
        <f t="shared" si="37"/>
        <v>16.340025128670902</v>
      </c>
    </row>
    <row r="107" spans="1:11">
      <c r="A107" s="631" t="s">
        <v>47</v>
      </c>
      <c r="C107" s="631" t="e">
        <f t="shared" si="37"/>
        <v>#DIV/0!</v>
      </c>
      <c r="D107" s="631" t="e">
        <f t="shared" si="37"/>
        <v>#DIV/0!</v>
      </c>
      <c r="E107" s="631" t="e">
        <f t="shared" si="37"/>
        <v>#DIV/0!</v>
      </c>
      <c r="F107" s="631" t="e">
        <f t="shared" si="37"/>
        <v>#DIV/0!</v>
      </c>
      <c r="G107" s="631" t="e">
        <f t="shared" si="37"/>
        <v>#DIV/0!</v>
      </c>
      <c r="H107" s="631" t="e">
        <f t="shared" si="37"/>
        <v>#DIV/0!</v>
      </c>
      <c r="I107" s="631" t="e">
        <f t="shared" si="37"/>
        <v>#DIV/0!</v>
      </c>
      <c r="J107" s="631" t="e">
        <f t="shared" si="37"/>
        <v>#DIV/0!</v>
      </c>
    </row>
    <row r="108" spans="1:11">
      <c r="A108" s="631" t="s">
        <v>52</v>
      </c>
      <c r="C108" s="631" t="e">
        <f t="shared" ref="C108:J114" si="38">C17/C88</f>
        <v>#DIV/0!</v>
      </c>
      <c r="D108" s="631" t="e">
        <f t="shared" si="38"/>
        <v>#DIV/0!</v>
      </c>
      <c r="E108" s="634">
        <f t="shared" si="38"/>
        <v>0.29312908535581106</v>
      </c>
      <c r="F108" s="634">
        <f t="shared" si="38"/>
        <v>0.28898455231936576</v>
      </c>
      <c r="G108" s="634">
        <f t="shared" si="38"/>
        <v>0.28691706614713403</v>
      </c>
      <c r="H108" s="631">
        <f t="shared" si="38"/>
        <v>0.29118695615571649</v>
      </c>
      <c r="I108" s="631">
        <f t="shared" si="38"/>
        <v>0.29487789041754625</v>
      </c>
      <c r="J108" s="631">
        <f t="shared" si="38"/>
        <v>0.28672220692962802</v>
      </c>
    </row>
    <row r="109" spans="1:11">
      <c r="A109" s="631" t="s">
        <v>60</v>
      </c>
      <c r="C109" s="631" t="e">
        <f t="shared" si="38"/>
        <v>#DIV/0!</v>
      </c>
      <c r="D109" s="631" t="e">
        <f t="shared" si="38"/>
        <v>#DIV/0!</v>
      </c>
      <c r="E109" s="631" t="e">
        <f t="shared" si="38"/>
        <v>#DIV/0!</v>
      </c>
      <c r="F109" s="631" t="e">
        <f t="shared" si="38"/>
        <v>#DIV/0!</v>
      </c>
      <c r="G109" s="631" t="e">
        <f t="shared" si="38"/>
        <v>#DIV/0!</v>
      </c>
      <c r="H109" s="631" t="e">
        <f t="shared" si="38"/>
        <v>#DIV/0!</v>
      </c>
      <c r="I109" s="631" t="e">
        <f t="shared" si="38"/>
        <v>#DIV/0!</v>
      </c>
      <c r="J109" s="631" t="e">
        <f t="shared" si="38"/>
        <v>#DIV/0!</v>
      </c>
    </row>
    <row r="110" spans="1:11">
      <c r="A110" s="631" t="s">
        <v>58</v>
      </c>
      <c r="C110" s="631" t="e">
        <f t="shared" si="38"/>
        <v>#DIV/0!</v>
      </c>
      <c r="D110" s="631" t="e">
        <f t="shared" si="38"/>
        <v>#DIV/0!</v>
      </c>
      <c r="E110" s="634">
        <f t="shared" si="38"/>
        <v>0.22409599193026628</v>
      </c>
      <c r="F110" s="634">
        <f t="shared" si="38"/>
        <v>0.21064126087226204</v>
      </c>
      <c r="G110" s="634">
        <f t="shared" si="38"/>
        <v>0.20870047436694869</v>
      </c>
      <c r="H110" s="631">
        <f t="shared" si="38"/>
        <v>0.24622958332614689</v>
      </c>
      <c r="I110" s="631">
        <f t="shared" si="38"/>
        <v>0.25094445001094745</v>
      </c>
      <c r="J110" s="631">
        <f t="shared" si="38"/>
        <v>0.23947329355455793</v>
      </c>
    </row>
    <row r="111" spans="1:11">
      <c r="A111" s="631" t="s">
        <v>49</v>
      </c>
      <c r="C111" s="631" t="e">
        <f t="shared" si="38"/>
        <v>#DIV/0!</v>
      </c>
      <c r="D111" s="631" t="e">
        <f t="shared" si="38"/>
        <v>#DIV/0!</v>
      </c>
      <c r="E111" s="631" t="e">
        <f t="shared" si="38"/>
        <v>#DIV/0!</v>
      </c>
      <c r="F111" s="631" t="e">
        <f t="shared" si="38"/>
        <v>#DIV/0!</v>
      </c>
      <c r="G111" s="631" t="e">
        <f t="shared" si="38"/>
        <v>#DIV/0!</v>
      </c>
      <c r="H111" s="631" t="e">
        <f t="shared" si="38"/>
        <v>#DIV/0!</v>
      </c>
      <c r="I111" s="631" t="e">
        <f t="shared" si="38"/>
        <v>#DIV/0!</v>
      </c>
      <c r="J111" s="631" t="e">
        <f t="shared" si="38"/>
        <v>#DIV/0!</v>
      </c>
    </row>
    <row r="112" spans="1:11">
      <c r="A112" s="631" t="s">
        <v>53</v>
      </c>
      <c r="C112" s="631" t="e">
        <f t="shared" si="38"/>
        <v>#DIV/0!</v>
      </c>
      <c r="D112" s="631" t="e">
        <f t="shared" si="38"/>
        <v>#DIV/0!</v>
      </c>
      <c r="E112" s="631" t="e">
        <f t="shared" si="38"/>
        <v>#DIV/0!</v>
      </c>
      <c r="F112" s="631" t="e">
        <f t="shared" si="38"/>
        <v>#DIV/0!</v>
      </c>
      <c r="G112" s="631">
        <f t="shared" si="38"/>
        <v>0.24786108976131702</v>
      </c>
      <c r="H112" s="631">
        <f t="shared" si="38"/>
        <v>0.23871679246448793</v>
      </c>
      <c r="I112" s="631">
        <f t="shared" si="38"/>
        <v>0.25334424284802526</v>
      </c>
      <c r="J112" s="631">
        <f t="shared" si="38"/>
        <v>0.25283938752446189</v>
      </c>
    </row>
    <row r="113" spans="1:18">
      <c r="A113" s="631" t="s">
        <v>42</v>
      </c>
      <c r="C113" s="631" t="e">
        <f t="shared" si="38"/>
        <v>#DIV/0!</v>
      </c>
      <c r="D113" s="631" t="e">
        <f t="shared" si="38"/>
        <v>#DIV/0!</v>
      </c>
      <c r="E113" s="631" t="e">
        <f t="shared" si="38"/>
        <v>#DIV/0!</v>
      </c>
      <c r="F113" s="631">
        <f t="shared" si="38"/>
        <v>0.30006284252831567</v>
      </c>
      <c r="G113" s="631">
        <f t="shared" si="38"/>
        <v>0.2061327661768497</v>
      </c>
      <c r="H113" s="631">
        <f t="shared" si="38"/>
        <v>0.29583324190894128</v>
      </c>
      <c r="I113" s="631">
        <f t="shared" si="38"/>
        <v>0.29607070101857402</v>
      </c>
      <c r="J113" s="631">
        <f t="shared" si="38"/>
        <v>0.28634918992252134</v>
      </c>
    </row>
    <row r="114" spans="1:18">
      <c r="A114" s="631" t="s">
        <v>54</v>
      </c>
      <c r="C114" s="631" t="e">
        <f t="shared" si="38"/>
        <v>#DIV/0!</v>
      </c>
      <c r="D114" s="631" t="e">
        <f t="shared" si="38"/>
        <v>#DIV/0!</v>
      </c>
      <c r="E114" s="634">
        <f t="shared" si="38"/>
        <v>0.24832028108493967</v>
      </c>
      <c r="F114" s="634">
        <f t="shared" si="38"/>
        <v>0.2184547477852519</v>
      </c>
      <c r="G114" s="634">
        <f t="shared" si="38"/>
        <v>0.2140759463888621</v>
      </c>
      <c r="H114" s="631">
        <f t="shared" si="38"/>
        <v>0.23396983365316112</v>
      </c>
      <c r="I114" s="631">
        <f t="shared" si="38"/>
        <v>0.12302658241880321</v>
      </c>
      <c r="J114" s="631">
        <f t="shared" si="38"/>
        <v>0.13058773817502298</v>
      </c>
    </row>
    <row r="117" spans="1:18">
      <c r="A117" s="631" t="s">
        <v>986</v>
      </c>
      <c r="C117" s="631" t="s">
        <v>987</v>
      </c>
    </row>
    <row r="118" spans="1:18">
      <c r="C118" s="634">
        <f>AVERAGE(E99,F99,G99,C100,D100,E100,F100,G100,E108,F108,G108,E110,F110,G110,E114,F114,G114)</f>
        <v>0.22840573773375111</v>
      </c>
    </row>
    <row r="120" spans="1:18">
      <c r="A120" s="631">
        <v>6</v>
      </c>
      <c r="B120" s="631" t="s">
        <v>264</v>
      </c>
      <c r="C120" s="631" t="s">
        <v>997</v>
      </c>
    </row>
    <row r="121" spans="1:18">
      <c r="A121" s="635"/>
      <c r="C121" s="635">
        <v>2009</v>
      </c>
      <c r="D121" s="635">
        <v>2010</v>
      </c>
      <c r="E121" s="635">
        <v>2011</v>
      </c>
      <c r="F121" s="635">
        <v>2012</v>
      </c>
      <c r="G121" s="635">
        <v>2013</v>
      </c>
      <c r="H121" s="635">
        <v>2014</v>
      </c>
      <c r="I121" s="635">
        <v>2015</v>
      </c>
      <c r="J121" s="635">
        <v>2016</v>
      </c>
      <c r="K121" s="635">
        <v>2017</v>
      </c>
      <c r="L121" s="635">
        <v>2018</v>
      </c>
      <c r="M121" s="635">
        <v>2019</v>
      </c>
      <c r="N121" s="635">
        <v>2020</v>
      </c>
      <c r="O121" s="635">
        <v>2021</v>
      </c>
      <c r="P121" s="635">
        <v>2022</v>
      </c>
      <c r="Q121" s="635" t="s">
        <v>132</v>
      </c>
      <c r="R121" s="635"/>
    </row>
    <row r="122" spans="1:18">
      <c r="A122" s="635" t="s">
        <v>43</v>
      </c>
      <c r="B122" s="635" t="s">
        <v>998</v>
      </c>
      <c r="C122" s="636">
        <v>33771000</v>
      </c>
      <c r="D122" s="637">
        <v>34119000</v>
      </c>
      <c r="E122" s="636">
        <v>37480000</v>
      </c>
      <c r="F122" s="636">
        <v>40766000</v>
      </c>
      <c r="G122" s="636">
        <v>43218000</v>
      </c>
      <c r="H122" s="636">
        <v>41524000</v>
      </c>
      <c r="I122" s="636">
        <v>42937000</v>
      </c>
      <c r="J122" s="636">
        <v>44646000</v>
      </c>
      <c r="K122" s="636">
        <v>44818000</v>
      </c>
      <c r="L122" s="636">
        <v>44245000</v>
      </c>
      <c r="M122" s="636">
        <v>44138000</v>
      </c>
      <c r="N122" s="636">
        <v>29121000</v>
      </c>
      <c r="O122" s="636">
        <v>25898000</v>
      </c>
      <c r="P122" s="636">
        <v>34354000</v>
      </c>
      <c r="Q122" s="638" t="s">
        <v>999</v>
      </c>
    </row>
    <row r="123" spans="1:18">
      <c r="A123" s="635" t="s">
        <v>44</v>
      </c>
      <c r="B123" s="635" t="s">
        <v>1000</v>
      </c>
      <c r="C123" s="636">
        <v>12759374</v>
      </c>
      <c r="D123" s="636">
        <v>12620114</v>
      </c>
      <c r="E123" s="636">
        <v>12579172</v>
      </c>
      <c r="F123" s="636">
        <v>12184462</v>
      </c>
      <c r="G123" s="636">
        <v>13325662</v>
      </c>
      <c r="H123" s="636">
        <v>12861379</v>
      </c>
      <c r="I123" s="636">
        <v>11945822</v>
      </c>
      <c r="J123" s="636">
        <v>12555501</v>
      </c>
      <c r="K123" s="636">
        <v>12099893</v>
      </c>
      <c r="L123" s="636">
        <v>11996673</v>
      </c>
      <c r="M123" s="636">
        <v>13203178</v>
      </c>
      <c r="N123" s="636">
        <v>10578653</v>
      </c>
      <c r="O123" s="636">
        <v>9905666</v>
      </c>
      <c r="P123" s="636">
        <v>12448767</v>
      </c>
      <c r="Q123" s="638" t="s">
        <v>1001</v>
      </c>
    </row>
    <row r="124" spans="1:18">
      <c r="A124" s="635" t="s">
        <v>54</v>
      </c>
      <c r="B124" s="639" t="s">
        <v>1002</v>
      </c>
      <c r="C124" s="636">
        <v>3511399</v>
      </c>
      <c r="D124" s="636">
        <v>3392700</v>
      </c>
      <c r="E124" s="636">
        <v>3444292</v>
      </c>
      <c r="F124" s="637">
        <v>3760105</v>
      </c>
      <c r="G124" s="637">
        <v>3688984</v>
      </c>
      <c r="H124" s="637">
        <v>3572961</v>
      </c>
      <c r="I124" s="637">
        <v>3580390</v>
      </c>
      <c r="J124" s="637">
        <v>3238037</v>
      </c>
      <c r="K124" s="637">
        <v>2955729</v>
      </c>
      <c r="L124" s="637">
        <v>2759200</v>
      </c>
      <c r="M124" s="637">
        <v>2742237</v>
      </c>
      <c r="N124" s="637">
        <v>1859615</v>
      </c>
      <c r="O124" s="637">
        <v>2145401</v>
      </c>
      <c r="P124" s="637">
        <v>2798864</v>
      </c>
      <c r="Q124" s="638" t="s">
        <v>1003</v>
      </c>
    </row>
    <row r="125" spans="1:18">
      <c r="A125" s="631" t="s">
        <v>40</v>
      </c>
      <c r="B125" s="631" t="s">
        <v>1005</v>
      </c>
    </row>
    <row r="126" spans="1:18">
      <c r="A126" s="631" t="s">
        <v>47</v>
      </c>
      <c r="B126" s="631" t="s">
        <v>1004</v>
      </c>
    </row>
    <row r="127" spans="1:18">
      <c r="A127" s="631" t="s">
        <v>55</v>
      </c>
      <c r="B127" s="631" t="s">
        <v>1004</v>
      </c>
    </row>
    <row r="129" spans="1:13">
      <c r="A129" s="631">
        <v>7</v>
      </c>
      <c r="B129" s="631" t="s">
        <v>264</v>
      </c>
      <c r="C129" s="631" t="s">
        <v>1007</v>
      </c>
    </row>
    <row r="130" spans="1:13">
      <c r="C130" s="631">
        <v>2009</v>
      </c>
      <c r="D130" s="631">
        <v>2010</v>
      </c>
      <c r="E130" s="631">
        <v>2011</v>
      </c>
      <c r="F130" s="631">
        <v>2012</v>
      </c>
      <c r="G130" s="631">
        <v>2013</v>
      </c>
      <c r="H130" s="631">
        <v>2014</v>
      </c>
      <c r="I130" s="631">
        <v>2015</v>
      </c>
      <c r="J130" s="631">
        <v>2016</v>
      </c>
      <c r="K130" s="631">
        <v>2017</v>
      </c>
      <c r="L130" s="631">
        <v>2018</v>
      </c>
      <c r="M130" s="631">
        <v>2019</v>
      </c>
    </row>
    <row r="131" spans="1:13">
      <c r="A131" s="635" t="s">
        <v>43</v>
      </c>
      <c r="D131" s="640">
        <f t="shared" ref="D131:M131" si="39">(D122-C122)/C122</f>
        <v>1.0304699298214445E-2</v>
      </c>
      <c r="E131" s="640">
        <f t="shared" si="39"/>
        <v>9.8508162607344879E-2</v>
      </c>
      <c r="F131" s="640">
        <f t="shared" si="39"/>
        <v>8.7673425827107784E-2</v>
      </c>
      <c r="G131" s="640">
        <f t="shared" si="39"/>
        <v>6.0148162684590098E-2</v>
      </c>
      <c r="H131" s="640">
        <f t="shared" si="39"/>
        <v>-3.9196631033365729E-2</v>
      </c>
      <c r="I131" s="640">
        <f t="shared" si="39"/>
        <v>3.4028513630671421E-2</v>
      </c>
      <c r="J131" s="640">
        <f t="shared" si="39"/>
        <v>3.9802501339171341E-2</v>
      </c>
      <c r="K131" s="640">
        <f t="shared" si="39"/>
        <v>3.8525287819737492E-3</v>
      </c>
      <c r="L131" s="640">
        <f t="shared" si="39"/>
        <v>-1.2785041724307198E-2</v>
      </c>
      <c r="M131" s="640">
        <f t="shared" si="39"/>
        <v>-2.4183523561984404E-3</v>
      </c>
    </row>
    <row r="132" spans="1:13">
      <c r="A132" s="635" t="s">
        <v>44</v>
      </c>
      <c r="D132" s="640">
        <f t="shared" ref="D132:M132" si="40">(D123-C123)/C123</f>
        <v>-1.0914328555617227E-2</v>
      </c>
      <c r="E132" s="640">
        <f t="shared" si="40"/>
        <v>-3.2441862252591378E-3</v>
      </c>
      <c r="F132" s="640">
        <f t="shared" si="40"/>
        <v>-3.1378058905625901E-2</v>
      </c>
      <c r="G132" s="640">
        <f t="shared" si="40"/>
        <v>9.3660269940519333E-2</v>
      </c>
      <c r="H132" s="640">
        <f t="shared" si="40"/>
        <v>-3.4841270925226826E-2</v>
      </c>
      <c r="I132" s="640">
        <f t="shared" si="40"/>
        <v>-7.1186534507691593E-2</v>
      </c>
      <c r="J132" s="640">
        <f t="shared" si="40"/>
        <v>5.1037006913379424E-2</v>
      </c>
      <c r="K132" s="640">
        <f t="shared" si="40"/>
        <v>-3.628752050595193E-2</v>
      </c>
      <c r="L132" s="640">
        <f t="shared" si="40"/>
        <v>-8.5306539487580591E-3</v>
      </c>
      <c r="M132" s="640">
        <f t="shared" si="40"/>
        <v>0.10056996635650567</v>
      </c>
    </row>
    <row r="133" spans="1:13">
      <c r="A133" s="635" t="s">
        <v>54</v>
      </c>
      <c r="D133" s="640">
        <f t="shared" ref="D133:M133" si="41">(D124-C124)/C124</f>
        <v>-3.3803905508886914E-2</v>
      </c>
      <c r="E133" s="640">
        <f t="shared" si="41"/>
        <v>1.5206767471335515E-2</v>
      </c>
      <c r="F133" s="640">
        <f t="shared" si="41"/>
        <v>9.1691703258608731E-2</v>
      </c>
      <c r="G133" s="640">
        <f t="shared" si="41"/>
        <v>-1.891463137332601E-2</v>
      </c>
      <c r="H133" s="640">
        <f t="shared" si="41"/>
        <v>-3.1451207161646677E-2</v>
      </c>
      <c r="I133" s="640">
        <f t="shared" si="41"/>
        <v>2.0792278449163035E-3</v>
      </c>
      <c r="J133" s="640">
        <f t="shared" si="41"/>
        <v>-9.5618913023441582E-2</v>
      </c>
      <c r="K133" s="640">
        <f t="shared" si="41"/>
        <v>-8.7184920987623052E-2</v>
      </c>
      <c r="L133" s="640">
        <f t="shared" si="41"/>
        <v>-6.6490872471732021E-2</v>
      </c>
      <c r="M133" s="640">
        <f t="shared" si="41"/>
        <v>-6.1477964627428237E-3</v>
      </c>
    </row>
    <row r="135" spans="1:13">
      <c r="A135" s="631" t="s">
        <v>1006</v>
      </c>
      <c r="C135" s="631" t="s">
        <v>1008</v>
      </c>
    </row>
    <row r="136" spans="1:13">
      <c r="C136" s="641">
        <f>AVERAGE(J131:M133)</f>
        <v>-1.0016839007477078E-2</v>
      </c>
    </row>
    <row r="138" spans="1:13">
      <c r="A138" s="642" t="s">
        <v>1139</v>
      </c>
    </row>
    <row r="139" spans="1:13">
      <c r="A139" s="1926" t="s">
        <v>1140</v>
      </c>
      <c r="B139" s="1927"/>
      <c r="C139" s="1927"/>
      <c r="D139" s="1927"/>
      <c r="E139" s="1927"/>
      <c r="F139" s="1927"/>
      <c r="G139" s="1927"/>
      <c r="H139" s="1927"/>
    </row>
    <row r="140" spans="1:13">
      <c r="A140" s="1927"/>
      <c r="B140" s="1927"/>
      <c r="C140" s="1927"/>
      <c r="D140" s="1927"/>
      <c r="E140" s="1927"/>
      <c r="F140" s="1927"/>
      <c r="G140" s="1927"/>
      <c r="H140" s="1927"/>
    </row>
    <row r="141" spans="1:13">
      <c r="A141" s="1927"/>
      <c r="B141" s="1927"/>
      <c r="C141" s="1927"/>
      <c r="D141" s="1927"/>
      <c r="E141" s="1927"/>
      <c r="F141" s="1927"/>
      <c r="G141" s="1927"/>
      <c r="H141" s="1927"/>
    </row>
    <row r="142" spans="1:13">
      <c r="A142" s="1927"/>
      <c r="B142" s="1927"/>
      <c r="C142" s="1927"/>
      <c r="D142" s="1927"/>
      <c r="E142" s="1927"/>
      <c r="F142" s="1927"/>
      <c r="G142" s="1927"/>
      <c r="H142" s="1927"/>
    </row>
  </sheetData>
  <mergeCells count="4">
    <mergeCell ref="C4:J4"/>
    <mergeCell ref="C27:J27"/>
    <mergeCell ref="C51:J51"/>
    <mergeCell ref="A139:H142"/>
  </mergeCells>
  <hyperlinks>
    <hyperlink ref="Q122" r:id="rId1" location="pr8"/>
    <hyperlink ref="Q123" r:id="rId2" display="https://www.dpmk.sk/dpmk/vyrocne-spravy"/>
    <hyperlink ref="Q124" r:id="rId3"/>
  </hyperlinks>
  <pageMargins left="0.75" right="0.75" top="1" bottom="1" header="0.5" footer="0.5"/>
  <pageSetup orientation="portrait" r:id="rId4"/>
  <legacyDrawing r:id="rId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39"/>
  <sheetViews>
    <sheetView workbookViewId="0">
      <selection activeCell="I3" sqref="I3"/>
    </sheetView>
  </sheetViews>
  <sheetFormatPr defaultColWidth="8.85546875" defaultRowHeight="12.75"/>
  <cols>
    <col min="1" max="1" width="15.85546875" style="60" customWidth="1"/>
    <col min="2" max="2" width="8.85546875" style="60" bestFit="1"/>
    <col min="3" max="3" width="18.140625" style="60" customWidth="1"/>
    <col min="4" max="24" width="10.5703125" style="60" customWidth="1"/>
    <col min="25" max="37" width="10" style="60" customWidth="1"/>
    <col min="38" max="45" width="8.85546875" style="60" bestFit="1"/>
    <col min="46" max="16384" width="8.85546875" style="60"/>
  </cols>
  <sheetData>
    <row r="1" spans="1:37">
      <c r="A1" s="508" t="s">
        <v>952</v>
      </c>
    </row>
    <row r="2" spans="1:37" ht="15">
      <c r="A2" s="495" t="s">
        <v>325</v>
      </c>
      <c r="B2" s="62" t="s">
        <v>543</v>
      </c>
      <c r="C2" s="62"/>
    </row>
    <row r="3" spans="1:37">
      <c r="A3" s="496" t="s">
        <v>334</v>
      </c>
    </row>
    <row r="4" spans="1:37" ht="15">
      <c r="A4" s="495" t="s">
        <v>327</v>
      </c>
      <c r="B4" s="62" t="s">
        <v>544</v>
      </c>
      <c r="C4" s="62"/>
      <c r="E4" s="201"/>
      <c r="F4" s="201"/>
      <c r="G4" s="201"/>
      <c r="H4" s="201"/>
      <c r="I4" s="201"/>
      <c r="J4" s="201"/>
      <c r="K4" s="201"/>
      <c r="L4" s="201"/>
      <c r="M4" s="201"/>
      <c r="N4" s="201"/>
      <c r="O4" s="201"/>
      <c r="P4" s="201"/>
      <c r="Q4" s="201"/>
      <c r="R4" s="201"/>
      <c r="S4" s="201"/>
      <c r="T4" s="201"/>
      <c r="U4" s="201"/>
      <c r="V4" s="201"/>
      <c r="W4" s="201"/>
      <c r="X4" s="201"/>
      <c r="Y4" s="201"/>
    </row>
    <row r="5" spans="1:37" ht="15">
      <c r="A5" s="598">
        <v>2023</v>
      </c>
      <c r="B5" s="62"/>
      <c r="C5" s="62"/>
      <c r="E5" s="201"/>
      <c r="F5" s="201"/>
      <c r="G5" s="201"/>
      <c r="H5" s="201"/>
      <c r="I5" s="201"/>
      <c r="J5" s="201"/>
      <c r="K5" s="201"/>
      <c r="L5" s="201"/>
      <c r="M5" s="201"/>
      <c r="N5" s="201"/>
      <c r="O5" s="201"/>
      <c r="P5" s="201"/>
      <c r="Q5" s="201"/>
      <c r="R5" s="201"/>
      <c r="S5" s="201"/>
      <c r="T5" s="201"/>
      <c r="U5" s="201"/>
      <c r="V5" s="201"/>
      <c r="W5" s="201"/>
      <c r="X5" s="201"/>
      <c r="Y5" s="201"/>
    </row>
    <row r="6" spans="1:37" ht="15">
      <c r="A6" s="597" t="s">
        <v>1116</v>
      </c>
      <c r="B6" s="62"/>
      <c r="C6" s="62"/>
      <c r="E6" s="201"/>
      <c r="F6" s="201"/>
      <c r="G6" s="201"/>
      <c r="H6" s="201"/>
      <c r="I6" s="201"/>
      <c r="J6" s="201"/>
      <c r="K6" s="201"/>
      <c r="L6" s="201"/>
      <c r="M6" s="201"/>
      <c r="N6" s="201"/>
      <c r="O6" s="201"/>
      <c r="P6" s="201"/>
      <c r="Q6" s="201"/>
      <c r="R6" s="201"/>
      <c r="S6" s="201"/>
      <c r="T6" s="201"/>
      <c r="U6" s="201"/>
      <c r="V6" s="201"/>
      <c r="W6" s="201"/>
      <c r="X6" s="201"/>
      <c r="Y6" s="201"/>
    </row>
    <row r="7" spans="1:37" ht="15">
      <c r="A7" s="85" t="s">
        <v>953</v>
      </c>
      <c r="B7" s="62"/>
      <c r="C7" s="62"/>
      <c r="E7" s="201"/>
      <c r="F7" s="201"/>
      <c r="G7" s="201"/>
      <c r="H7" s="201"/>
      <c r="I7" s="201"/>
      <c r="J7" s="201"/>
      <c r="K7" s="201"/>
      <c r="L7" s="201"/>
      <c r="M7" s="201"/>
      <c r="N7" s="201"/>
      <c r="O7" s="201"/>
      <c r="P7" s="201"/>
      <c r="Q7" s="201"/>
      <c r="R7" s="201"/>
      <c r="S7" s="201"/>
      <c r="T7" s="201"/>
      <c r="U7" s="201"/>
      <c r="V7" s="201"/>
      <c r="W7" s="201"/>
      <c r="X7" s="201"/>
      <c r="Y7" s="201"/>
    </row>
    <row r="8" spans="1:37" ht="15">
      <c r="A8" s="495" t="s">
        <v>966</v>
      </c>
      <c r="B8" s="62"/>
      <c r="C8" s="62"/>
      <c r="E8" s="201"/>
      <c r="F8" s="201"/>
      <c r="G8" s="201"/>
      <c r="H8" s="201"/>
      <c r="I8" s="201"/>
      <c r="J8" s="201"/>
      <c r="K8" s="201"/>
      <c r="L8" s="201"/>
      <c r="M8" s="201"/>
      <c r="N8" s="201"/>
      <c r="O8" s="201"/>
      <c r="P8" s="201"/>
      <c r="Q8" s="201"/>
      <c r="R8" s="201"/>
      <c r="S8" s="201"/>
      <c r="T8" s="201"/>
      <c r="U8" s="201"/>
      <c r="V8" s="201"/>
      <c r="W8" s="201"/>
      <c r="X8" s="201"/>
      <c r="Y8" s="201"/>
    </row>
    <row r="9" spans="1:37" ht="15">
      <c r="A9" s="199" t="s">
        <v>965</v>
      </c>
    </row>
    <row r="10" spans="1:37" s="200" customFormat="1" ht="12">
      <c r="A10" s="202">
        <v>1</v>
      </c>
      <c r="B10" s="203"/>
      <c r="C10" s="203"/>
      <c r="D10" s="1907" t="s">
        <v>545</v>
      </c>
      <c r="E10" s="1908"/>
      <c r="F10" s="1908"/>
      <c r="G10" s="1908"/>
      <c r="H10" s="1908"/>
      <c r="I10" s="1908"/>
      <c r="J10" s="1908"/>
      <c r="K10" s="1908"/>
      <c r="L10" s="1908"/>
      <c r="M10" s="1908"/>
      <c r="N10" s="1908"/>
      <c r="O10" s="1908"/>
      <c r="P10" s="1908"/>
      <c r="Q10" s="1908"/>
      <c r="R10" s="1908"/>
      <c r="S10" s="1908"/>
      <c r="T10" s="1908"/>
      <c r="U10" s="1908"/>
      <c r="V10" s="1908"/>
      <c r="W10" s="1908"/>
      <c r="X10" s="1909"/>
      <c r="Y10" s="1907" t="s">
        <v>545</v>
      </c>
      <c r="Z10" s="1908"/>
      <c r="AA10" s="1908"/>
      <c r="AB10" s="1908"/>
      <c r="AC10" s="1908"/>
      <c r="AD10" s="1908"/>
      <c r="AE10" s="1908"/>
      <c r="AF10" s="1908"/>
      <c r="AG10" s="1908"/>
      <c r="AH10" s="1908"/>
      <c r="AI10" s="1908"/>
      <c r="AJ10" s="1908"/>
      <c r="AK10" s="1908"/>
    </row>
    <row r="11" spans="1:37" s="200" customFormat="1" ht="12">
      <c r="A11" s="204"/>
      <c r="B11" s="204"/>
      <c r="C11" s="204"/>
      <c r="D11" s="82" t="s">
        <v>289</v>
      </c>
      <c r="E11" s="82" t="s">
        <v>290</v>
      </c>
      <c r="F11" s="82" t="s">
        <v>291</v>
      </c>
      <c r="G11" s="82" t="s">
        <v>292</v>
      </c>
      <c r="H11" s="82" t="s">
        <v>293</v>
      </c>
      <c r="I11" s="82" t="s">
        <v>294</v>
      </c>
      <c r="J11" s="82" t="s">
        <v>295</v>
      </c>
      <c r="K11" s="82" t="s">
        <v>296</v>
      </c>
      <c r="L11" s="82" t="s">
        <v>297</v>
      </c>
      <c r="M11" s="82" t="s">
        <v>298</v>
      </c>
      <c r="N11" s="82" t="s">
        <v>299</v>
      </c>
      <c r="O11" s="82" t="s">
        <v>300</v>
      </c>
      <c r="P11" s="82" t="s">
        <v>301</v>
      </c>
      <c r="Q11" s="82" t="s">
        <v>302</v>
      </c>
      <c r="R11" s="82" t="s">
        <v>303</v>
      </c>
      <c r="S11" s="82" t="s">
        <v>304</v>
      </c>
      <c r="T11" s="82" t="s">
        <v>305</v>
      </c>
      <c r="U11" s="82" t="s">
        <v>306</v>
      </c>
      <c r="V11" s="82" t="s">
        <v>307</v>
      </c>
      <c r="W11" s="82" t="s">
        <v>308</v>
      </c>
      <c r="X11" s="82" t="s">
        <v>309</v>
      </c>
      <c r="Y11" s="72" t="s">
        <v>957</v>
      </c>
      <c r="Z11" s="72" t="s">
        <v>958</v>
      </c>
      <c r="AA11" s="82">
        <v>2023</v>
      </c>
      <c r="AB11" s="82">
        <v>2024</v>
      </c>
      <c r="AC11" s="82">
        <v>2025</v>
      </c>
      <c r="AD11" s="82">
        <v>2026</v>
      </c>
      <c r="AE11" s="82">
        <v>2027</v>
      </c>
      <c r="AF11" s="82">
        <v>2028</v>
      </c>
      <c r="AG11" s="82">
        <v>2029</v>
      </c>
      <c r="AH11" s="82">
        <v>2030</v>
      </c>
      <c r="AI11" s="82">
        <v>2031</v>
      </c>
      <c r="AJ11" s="82">
        <v>2032</v>
      </c>
      <c r="AK11" s="82">
        <v>2033</v>
      </c>
    </row>
    <row r="12" spans="1:37" s="200" customFormat="1" ht="12">
      <c r="A12" s="82" t="s">
        <v>546</v>
      </c>
      <c r="B12" s="82" t="s">
        <v>118</v>
      </c>
      <c r="C12" s="82"/>
      <c r="D12" s="73">
        <v>59430</v>
      </c>
      <c r="E12" s="73">
        <v>51274</v>
      </c>
      <c r="F12" s="73">
        <v>50325</v>
      </c>
      <c r="G12" s="73">
        <v>50458</v>
      </c>
      <c r="H12" s="73">
        <v>48438</v>
      </c>
      <c r="I12" s="73">
        <v>47070</v>
      </c>
      <c r="J12" s="73">
        <v>48744</v>
      </c>
      <c r="K12" s="73">
        <v>46667</v>
      </c>
      <c r="L12" s="73">
        <v>46583</v>
      </c>
      <c r="M12" s="73">
        <v>47531</v>
      </c>
      <c r="N12" s="73">
        <v>44698</v>
      </c>
      <c r="O12" s="73">
        <v>46064</v>
      </c>
      <c r="P12" s="73">
        <v>49272</v>
      </c>
      <c r="Q12" s="73">
        <v>60566</v>
      </c>
      <c r="R12" s="73">
        <v>69529</v>
      </c>
      <c r="S12" s="73">
        <v>75370</v>
      </c>
      <c r="T12" s="73">
        <v>77753</v>
      </c>
      <c r="U12" s="73">
        <v>81420</v>
      </c>
      <c r="V12" s="73">
        <v>49577</v>
      </c>
      <c r="W12" s="73">
        <v>46345</v>
      </c>
      <c r="X12" s="73">
        <v>68138</v>
      </c>
      <c r="Y12" s="73">
        <f>AVERAGE(E12:X12)</f>
        <v>55291.1</v>
      </c>
      <c r="Z12" s="73">
        <f>AVERAGE(E12:U12)</f>
        <v>55397.76470588235</v>
      </c>
      <c r="AA12" s="73"/>
      <c r="AB12" s="73"/>
      <c r="AC12" s="73"/>
      <c r="AD12" s="73"/>
      <c r="AE12" s="73"/>
      <c r="AF12" s="73"/>
      <c r="AG12" s="73"/>
      <c r="AH12" s="73"/>
      <c r="AI12" s="73"/>
      <c r="AJ12" s="73"/>
      <c r="AK12" s="73"/>
    </row>
    <row r="13" spans="1:37" s="200" customFormat="1" ht="12">
      <c r="A13" s="82" t="s">
        <v>547</v>
      </c>
      <c r="B13" s="82" t="s">
        <v>548</v>
      </c>
      <c r="C13" s="82"/>
      <c r="D13" s="73"/>
      <c r="E13" s="73"/>
      <c r="F13" s="73">
        <v>31143</v>
      </c>
      <c r="G13" s="73">
        <v>31337</v>
      </c>
      <c r="H13" s="73">
        <v>31271</v>
      </c>
      <c r="I13" s="73">
        <v>35268</v>
      </c>
      <c r="J13" s="73">
        <v>31319</v>
      </c>
      <c r="K13" s="73">
        <v>31176</v>
      </c>
      <c r="L13" s="73">
        <v>31591</v>
      </c>
      <c r="M13" s="73">
        <v>30721</v>
      </c>
      <c r="N13" s="73">
        <v>31371</v>
      </c>
      <c r="O13" s="73">
        <v>31429</v>
      </c>
      <c r="P13" s="73">
        <v>31848</v>
      </c>
      <c r="Q13" s="73">
        <v>34151</v>
      </c>
      <c r="R13" s="73">
        <v>33519</v>
      </c>
      <c r="S13" s="73">
        <v>33060</v>
      </c>
      <c r="T13" s="73">
        <v>35057</v>
      </c>
      <c r="U13" s="73">
        <v>36929</v>
      </c>
      <c r="V13" s="73">
        <v>34099</v>
      </c>
      <c r="W13" s="73">
        <v>34645</v>
      </c>
      <c r="X13" s="73">
        <v>36028</v>
      </c>
      <c r="Y13" s="73">
        <f>AVERAGE(G13:X13)</f>
        <v>33045.5</v>
      </c>
      <c r="Z13" s="73">
        <f>AVERAGE(G13:U13)</f>
        <v>32669.8</v>
      </c>
      <c r="AA13" s="73"/>
      <c r="AB13" s="73"/>
      <c r="AC13" s="73"/>
      <c r="AD13" s="73"/>
      <c r="AE13" s="73"/>
      <c r="AF13" s="73"/>
      <c r="AG13" s="73"/>
      <c r="AH13" s="73"/>
      <c r="AI13" s="73"/>
      <c r="AJ13" s="73"/>
      <c r="AK13" s="73"/>
    </row>
    <row r="14" spans="1:37" s="200" customFormat="1" ht="12">
      <c r="A14" s="82" t="s">
        <v>549</v>
      </c>
      <c r="B14" s="82" t="s">
        <v>109</v>
      </c>
      <c r="C14" s="82"/>
      <c r="D14" s="73">
        <v>2682</v>
      </c>
      <c r="E14" s="73">
        <v>2316</v>
      </c>
      <c r="F14" s="73">
        <v>2228</v>
      </c>
      <c r="G14" s="73">
        <v>2182</v>
      </c>
      <c r="H14" s="73">
        <v>2213</v>
      </c>
      <c r="I14" s="73">
        <v>2165</v>
      </c>
      <c r="J14" s="73">
        <v>2296</v>
      </c>
      <c r="K14" s="73">
        <v>2264</v>
      </c>
      <c r="L14" s="73">
        <v>2309</v>
      </c>
      <c r="M14" s="73">
        <v>2431</v>
      </c>
      <c r="N14" s="73">
        <v>2459</v>
      </c>
      <c r="O14" s="73">
        <v>2485</v>
      </c>
      <c r="P14" s="73">
        <v>2583</v>
      </c>
      <c r="Q14" s="73">
        <v>3411</v>
      </c>
      <c r="R14" s="73">
        <v>3595</v>
      </c>
      <c r="S14" s="73">
        <v>3873</v>
      </c>
      <c r="T14" s="73">
        <v>3915</v>
      </c>
      <c r="U14" s="73">
        <v>4093</v>
      </c>
      <c r="V14" s="73">
        <v>2180</v>
      </c>
      <c r="W14" s="73">
        <v>2052</v>
      </c>
      <c r="X14" s="73">
        <v>3354</v>
      </c>
      <c r="Y14" s="73">
        <f>AVERAGE(E14:X14)</f>
        <v>2720.2</v>
      </c>
      <c r="Z14" s="73">
        <f>AVERAGE(E14:U14)</f>
        <v>2754</v>
      </c>
      <c r="AA14" s="73"/>
      <c r="AB14" s="73"/>
      <c r="AC14" s="73"/>
      <c r="AD14" s="73"/>
      <c r="AE14" s="73"/>
      <c r="AF14" s="73"/>
      <c r="AG14" s="73"/>
      <c r="AH14" s="73"/>
      <c r="AI14" s="73"/>
      <c r="AJ14" s="73"/>
      <c r="AK14" s="73"/>
    </row>
    <row r="15" spans="1:37" s="200" customFormat="1" ht="12">
      <c r="A15" s="82" t="s">
        <v>270</v>
      </c>
      <c r="B15" s="494" t="s">
        <v>954</v>
      </c>
      <c r="C15" s="82"/>
      <c r="D15" s="73"/>
      <c r="E15" s="73"/>
      <c r="F15" s="73"/>
      <c r="G15" s="73"/>
      <c r="H15" s="73"/>
      <c r="I15" s="73"/>
      <c r="J15" s="73"/>
      <c r="K15" s="73">
        <v>83503</v>
      </c>
      <c r="L15" s="73">
        <v>85301</v>
      </c>
      <c r="M15" s="73">
        <v>101778</v>
      </c>
      <c r="N15" s="73">
        <v>111880</v>
      </c>
      <c r="O15" s="73">
        <v>112544</v>
      </c>
      <c r="P15" s="73">
        <v>110043</v>
      </c>
      <c r="Q15" s="73">
        <v>90003</v>
      </c>
      <c r="R15" s="73">
        <v>90635</v>
      </c>
      <c r="S15" s="73">
        <v>102446</v>
      </c>
      <c r="T15" s="73">
        <v>104345</v>
      </c>
      <c r="U15" s="73">
        <v>110060</v>
      </c>
      <c r="V15" s="73">
        <v>61082</v>
      </c>
      <c r="W15" s="73">
        <v>65362</v>
      </c>
      <c r="X15" s="73">
        <v>100622</v>
      </c>
      <c r="Y15" s="73">
        <f>AVERAGE(E15:X15)</f>
        <v>94971.71428571429</v>
      </c>
      <c r="Z15" s="73">
        <f>AVERAGE(E15:U15)</f>
        <v>100230.72727272728</v>
      </c>
      <c r="AA15" s="73"/>
      <c r="AB15" s="73"/>
      <c r="AC15" s="73"/>
      <c r="AD15" s="73"/>
      <c r="AE15" s="73"/>
      <c r="AF15" s="73"/>
      <c r="AG15" s="73"/>
      <c r="AH15" s="73"/>
      <c r="AI15" s="73"/>
      <c r="AJ15" s="73"/>
      <c r="AK15" s="73"/>
    </row>
    <row r="16" spans="1:37" s="200" customFormat="1" ht="12"/>
    <row r="17" spans="1:37" s="200" customFormat="1" ht="12">
      <c r="A17" s="202">
        <v>2</v>
      </c>
      <c r="B17" s="203"/>
      <c r="C17" s="203"/>
      <c r="D17" s="1907" t="s">
        <v>545</v>
      </c>
      <c r="E17" s="1908"/>
      <c r="F17" s="1908"/>
      <c r="G17" s="1908"/>
      <c r="H17" s="1908"/>
      <c r="I17" s="1908"/>
      <c r="J17" s="1908"/>
      <c r="K17" s="1908"/>
      <c r="L17" s="1908"/>
      <c r="M17" s="1908"/>
      <c r="N17" s="1908"/>
      <c r="O17" s="1908"/>
      <c r="P17" s="1908"/>
      <c r="Q17" s="1908"/>
      <c r="R17" s="1908"/>
      <c r="S17" s="1908"/>
      <c r="T17" s="1908"/>
      <c r="U17" s="1908"/>
      <c r="V17" s="1908"/>
      <c r="W17" s="1908"/>
      <c r="X17" s="1909"/>
      <c r="Y17" s="1907" t="s">
        <v>545</v>
      </c>
      <c r="Z17" s="1908"/>
      <c r="AA17" s="1908"/>
      <c r="AB17" s="1908"/>
      <c r="AC17" s="1908"/>
      <c r="AD17" s="1908"/>
      <c r="AE17" s="1908"/>
      <c r="AF17" s="1908"/>
      <c r="AG17" s="1908"/>
      <c r="AH17" s="1908"/>
      <c r="AI17" s="1908"/>
      <c r="AJ17" s="1908"/>
      <c r="AK17" s="1908"/>
    </row>
    <row r="18" spans="1:37" s="200" customFormat="1" ht="12">
      <c r="A18" s="204"/>
      <c r="B18" s="204"/>
      <c r="C18" s="204"/>
      <c r="D18" s="82" t="s">
        <v>289</v>
      </c>
      <c r="E18" s="82" t="s">
        <v>290</v>
      </c>
      <c r="F18" s="82" t="s">
        <v>291</v>
      </c>
      <c r="G18" s="82" t="s">
        <v>292</v>
      </c>
      <c r="H18" s="82" t="s">
        <v>293</v>
      </c>
      <c r="I18" s="82" t="s">
        <v>294</v>
      </c>
      <c r="J18" s="82" t="s">
        <v>295</v>
      </c>
      <c r="K18" s="82" t="s">
        <v>296</v>
      </c>
      <c r="L18" s="82" t="s">
        <v>297</v>
      </c>
      <c r="M18" s="82" t="s">
        <v>298</v>
      </c>
      <c r="N18" s="82" t="s">
        <v>299</v>
      </c>
      <c r="O18" s="82" t="s">
        <v>300</v>
      </c>
      <c r="P18" s="82" t="s">
        <v>301</v>
      </c>
      <c r="Q18" s="82" t="s">
        <v>302</v>
      </c>
      <c r="R18" s="82" t="s">
        <v>303</v>
      </c>
      <c r="S18" s="82" t="s">
        <v>304</v>
      </c>
      <c r="T18" s="82" t="s">
        <v>305</v>
      </c>
      <c r="U18" s="82" t="s">
        <v>306</v>
      </c>
      <c r="V18" s="82" t="s">
        <v>307</v>
      </c>
      <c r="W18" s="82" t="s">
        <v>308</v>
      </c>
      <c r="X18" s="82" t="s">
        <v>309</v>
      </c>
      <c r="Y18" s="72" t="s">
        <v>957</v>
      </c>
      <c r="Z18" s="72" t="s">
        <v>958</v>
      </c>
      <c r="AA18" s="82">
        <v>2023</v>
      </c>
      <c r="AB18" s="82">
        <v>2024</v>
      </c>
      <c r="AC18" s="82">
        <v>2025</v>
      </c>
      <c r="AD18" s="82">
        <v>2026</v>
      </c>
      <c r="AE18" s="82">
        <v>2027</v>
      </c>
      <c r="AF18" s="82">
        <v>2028</v>
      </c>
      <c r="AG18" s="82">
        <v>2029</v>
      </c>
      <c r="AH18" s="82">
        <v>2030</v>
      </c>
      <c r="AI18" s="82">
        <v>2031</v>
      </c>
      <c r="AJ18" s="82">
        <v>2032</v>
      </c>
      <c r="AK18" s="82">
        <v>2033</v>
      </c>
    </row>
    <row r="19" spans="1:37" s="200" customFormat="1" ht="12">
      <c r="A19" s="82" t="s">
        <v>546</v>
      </c>
      <c r="B19" s="82" t="s">
        <v>550</v>
      </c>
      <c r="C19" s="82"/>
      <c r="D19" s="76">
        <f t="shared" ref="D19:X19" si="0">D12*1000</f>
        <v>59430000</v>
      </c>
      <c r="E19" s="76">
        <f t="shared" si="0"/>
        <v>51274000</v>
      </c>
      <c r="F19" s="76">
        <f t="shared" si="0"/>
        <v>50325000</v>
      </c>
      <c r="G19" s="76">
        <f t="shared" si="0"/>
        <v>50458000</v>
      </c>
      <c r="H19" s="76">
        <f t="shared" si="0"/>
        <v>48438000</v>
      </c>
      <c r="I19" s="76">
        <f t="shared" si="0"/>
        <v>47070000</v>
      </c>
      <c r="J19" s="76">
        <f t="shared" si="0"/>
        <v>48744000</v>
      </c>
      <c r="K19" s="76">
        <f t="shared" si="0"/>
        <v>46667000</v>
      </c>
      <c r="L19" s="76">
        <f t="shared" si="0"/>
        <v>46583000</v>
      </c>
      <c r="M19" s="76">
        <f t="shared" si="0"/>
        <v>47531000</v>
      </c>
      <c r="N19" s="76">
        <f t="shared" si="0"/>
        <v>44698000</v>
      </c>
      <c r="O19" s="76">
        <f t="shared" si="0"/>
        <v>46064000</v>
      </c>
      <c r="P19" s="76">
        <f t="shared" si="0"/>
        <v>49272000</v>
      </c>
      <c r="Q19" s="76">
        <f t="shared" si="0"/>
        <v>60566000</v>
      </c>
      <c r="R19" s="76">
        <f t="shared" si="0"/>
        <v>69529000</v>
      </c>
      <c r="S19" s="76">
        <f t="shared" si="0"/>
        <v>75370000</v>
      </c>
      <c r="T19" s="76">
        <f t="shared" si="0"/>
        <v>77753000</v>
      </c>
      <c r="U19" s="76">
        <f t="shared" si="0"/>
        <v>81420000</v>
      </c>
      <c r="V19" s="76">
        <f t="shared" si="0"/>
        <v>49577000</v>
      </c>
      <c r="W19" s="76">
        <f t="shared" si="0"/>
        <v>46345000</v>
      </c>
      <c r="X19" s="76">
        <f t="shared" si="0"/>
        <v>68138000</v>
      </c>
      <c r="Y19" s="73">
        <f>AVERAGE(E19:X19)</f>
        <v>55291100</v>
      </c>
      <c r="Z19" s="73">
        <f>AVERAGE(E19:U19)</f>
        <v>55397764.705882356</v>
      </c>
      <c r="AA19" s="512">
        <f>X19+X19*AA35</f>
        <v>69637036</v>
      </c>
      <c r="AB19" s="512">
        <f t="shared" ref="AB19:AK19" si="1">AA19+AA19*AB35</f>
        <v>71169050.791999996</v>
      </c>
      <c r="AC19" s="512">
        <f t="shared" si="1"/>
        <v>72734769.909423992</v>
      </c>
      <c r="AD19" s="512">
        <f t="shared" si="1"/>
        <v>74334934.847431317</v>
      </c>
      <c r="AE19" s="512">
        <f t="shared" si="1"/>
        <v>75970303.414074808</v>
      </c>
      <c r="AF19" s="512">
        <f t="shared" si="1"/>
        <v>77641650.089184448</v>
      </c>
      <c r="AG19" s="512">
        <f t="shared" si="1"/>
        <v>79349766.391146511</v>
      </c>
      <c r="AH19" s="512">
        <f t="shared" si="1"/>
        <v>81095461.251751736</v>
      </c>
      <c r="AI19" s="512">
        <f t="shared" si="1"/>
        <v>82879561.399290279</v>
      </c>
      <c r="AJ19" s="512">
        <f t="shared" si="1"/>
        <v>84702911.75007467</v>
      </c>
      <c r="AK19" s="512">
        <f t="shared" si="1"/>
        <v>86566375.808576316</v>
      </c>
    </row>
    <row r="20" spans="1:37" s="200" customFormat="1" ht="12">
      <c r="A20" s="82" t="s">
        <v>547</v>
      </c>
      <c r="B20" s="82" t="s">
        <v>551</v>
      </c>
      <c r="C20" s="82"/>
      <c r="D20" s="205">
        <f t="shared" ref="D20:X20" si="2">D13*1000</f>
        <v>0</v>
      </c>
      <c r="E20" s="205">
        <f t="shared" si="2"/>
        <v>0</v>
      </c>
      <c r="F20" s="205">
        <f t="shared" si="2"/>
        <v>31143000</v>
      </c>
      <c r="G20" s="205">
        <f t="shared" si="2"/>
        <v>31337000</v>
      </c>
      <c r="H20" s="205">
        <f t="shared" si="2"/>
        <v>31271000</v>
      </c>
      <c r="I20" s="205">
        <f t="shared" si="2"/>
        <v>35268000</v>
      </c>
      <c r="J20" s="205">
        <f t="shared" si="2"/>
        <v>31319000</v>
      </c>
      <c r="K20" s="205">
        <f t="shared" si="2"/>
        <v>31176000</v>
      </c>
      <c r="L20" s="205">
        <f t="shared" si="2"/>
        <v>31591000</v>
      </c>
      <c r="M20" s="205">
        <f t="shared" si="2"/>
        <v>30721000</v>
      </c>
      <c r="N20" s="205">
        <f t="shared" si="2"/>
        <v>31371000</v>
      </c>
      <c r="O20" s="205">
        <f t="shared" si="2"/>
        <v>31429000</v>
      </c>
      <c r="P20" s="205">
        <f t="shared" si="2"/>
        <v>31848000</v>
      </c>
      <c r="Q20" s="205">
        <f t="shared" si="2"/>
        <v>34151000</v>
      </c>
      <c r="R20" s="205">
        <f t="shared" si="2"/>
        <v>33519000</v>
      </c>
      <c r="S20" s="205">
        <f t="shared" si="2"/>
        <v>33060000</v>
      </c>
      <c r="T20" s="205">
        <f t="shared" si="2"/>
        <v>35057000</v>
      </c>
      <c r="U20" s="205">
        <f t="shared" si="2"/>
        <v>36929000</v>
      </c>
      <c r="V20" s="205">
        <f t="shared" si="2"/>
        <v>34099000</v>
      </c>
      <c r="W20" s="205">
        <f t="shared" si="2"/>
        <v>34645000</v>
      </c>
      <c r="X20" s="205">
        <f t="shared" si="2"/>
        <v>36028000</v>
      </c>
      <c r="Y20" s="73">
        <f>AVERAGE(G20:X20)</f>
        <v>33045500</v>
      </c>
      <c r="Z20" s="73">
        <f>AVERAGE(G20:U20)</f>
        <v>32669800</v>
      </c>
      <c r="AA20" s="512">
        <f>X20+X20*AA36</f>
        <v>36487792.695981503</v>
      </c>
      <c r="AB20" s="512">
        <f t="shared" ref="AB20:AK20" si="3">AA20+AA20*AB36</f>
        <v>36953453.309229523</v>
      </c>
      <c r="AC20" s="512">
        <f t="shared" si="3"/>
        <v>37425056.726651452</v>
      </c>
      <c r="AD20" s="512">
        <f t="shared" si="3"/>
        <v>37902678.790868387</v>
      </c>
      <c r="AE20" s="512">
        <f t="shared" si="3"/>
        <v>38386396.312412031</v>
      </c>
      <c r="AF20" s="512">
        <f t="shared" si="3"/>
        <v>38876287.08207725</v>
      </c>
      <c r="AG20" s="512">
        <f t="shared" si="3"/>
        <v>39372429.883432284</v>
      </c>
      <c r="AH20" s="512">
        <f t="shared" si="3"/>
        <v>39874904.505488634</v>
      </c>
      <c r="AI20" s="512">
        <f t="shared" si="3"/>
        <v>40383791.755532593</v>
      </c>
      <c r="AJ20" s="512">
        <f t="shared" si="3"/>
        <v>40899173.472120583</v>
      </c>
      <c r="AK20" s="512">
        <f t="shared" si="3"/>
        <v>41421132.538240314</v>
      </c>
    </row>
    <row r="21" spans="1:37" s="200" customFormat="1" ht="12">
      <c r="A21" s="82" t="s">
        <v>549</v>
      </c>
      <c r="B21" s="82" t="s">
        <v>552</v>
      </c>
      <c r="C21" s="82"/>
      <c r="D21" s="205">
        <f t="shared" ref="D21:X21" si="4">D14*1000000</f>
        <v>2682000000</v>
      </c>
      <c r="E21" s="205">
        <f t="shared" si="4"/>
        <v>2316000000</v>
      </c>
      <c r="F21" s="205">
        <f t="shared" si="4"/>
        <v>2228000000</v>
      </c>
      <c r="G21" s="205">
        <f t="shared" si="4"/>
        <v>2182000000</v>
      </c>
      <c r="H21" s="205">
        <f t="shared" si="4"/>
        <v>2213000000</v>
      </c>
      <c r="I21" s="205">
        <f t="shared" si="4"/>
        <v>2165000000</v>
      </c>
      <c r="J21" s="205">
        <f t="shared" si="4"/>
        <v>2296000000</v>
      </c>
      <c r="K21" s="205">
        <f t="shared" si="4"/>
        <v>2264000000</v>
      </c>
      <c r="L21" s="205">
        <f t="shared" si="4"/>
        <v>2309000000</v>
      </c>
      <c r="M21" s="205">
        <f t="shared" si="4"/>
        <v>2431000000</v>
      </c>
      <c r="N21" s="205">
        <f t="shared" si="4"/>
        <v>2459000000</v>
      </c>
      <c r="O21" s="205">
        <f t="shared" si="4"/>
        <v>2485000000</v>
      </c>
      <c r="P21" s="205">
        <f t="shared" si="4"/>
        <v>2583000000</v>
      </c>
      <c r="Q21" s="205">
        <f t="shared" si="4"/>
        <v>3411000000</v>
      </c>
      <c r="R21" s="205">
        <f t="shared" si="4"/>
        <v>3595000000</v>
      </c>
      <c r="S21" s="205">
        <f t="shared" si="4"/>
        <v>3873000000</v>
      </c>
      <c r="T21" s="205">
        <f t="shared" si="4"/>
        <v>3915000000</v>
      </c>
      <c r="U21" s="205">
        <f t="shared" si="4"/>
        <v>4093000000</v>
      </c>
      <c r="V21" s="205">
        <f t="shared" si="4"/>
        <v>2180000000</v>
      </c>
      <c r="W21" s="205">
        <f t="shared" si="4"/>
        <v>2052000000</v>
      </c>
      <c r="X21" s="205">
        <f t="shared" si="4"/>
        <v>3354000000</v>
      </c>
      <c r="Y21" s="73">
        <f>AVERAGE(E21:X21)</f>
        <v>2720200000</v>
      </c>
      <c r="Z21" s="73">
        <f>AVERAGE(E21:U21)</f>
        <v>2754000000</v>
      </c>
      <c r="AA21" s="512">
        <f>X21+X21*AA37</f>
        <v>3449956246.9980145</v>
      </c>
      <c r="AB21" s="512">
        <f t="shared" ref="AB21:AK21" si="5">AA21+AA21*AB37</f>
        <v>3548657753.7867098</v>
      </c>
      <c r="AC21" s="512">
        <f t="shared" si="5"/>
        <v>3650183060.8629699</v>
      </c>
      <c r="AD21" s="512">
        <f t="shared" si="5"/>
        <v>3754612955.7276492</v>
      </c>
      <c r="AE21" s="512">
        <f t="shared" si="5"/>
        <v>3862030537.1712232</v>
      </c>
      <c r="AF21" s="512">
        <f t="shared" si="5"/>
        <v>3972521281.3986158</v>
      </c>
      <c r="AG21" s="512">
        <f t="shared" si="5"/>
        <v>4086173110.0458293</v>
      </c>
      <c r="AH21" s="512">
        <f t="shared" si="5"/>
        <v>4203076460.1424904</v>
      </c>
      <c r="AI21" s="512">
        <f t="shared" si="5"/>
        <v>4323324356.0759945</v>
      </c>
      <c r="AJ21" s="512">
        <f t="shared" si="5"/>
        <v>4447012483.6145039</v>
      </c>
      <c r="AK21" s="512">
        <f t="shared" si="5"/>
        <v>4574239266.0477076</v>
      </c>
    </row>
    <row r="22" spans="1:37" s="200" customFormat="1" ht="12">
      <c r="A22" s="82" t="s">
        <v>270</v>
      </c>
      <c r="B22" s="494" t="s">
        <v>120</v>
      </c>
      <c r="C22" s="82"/>
      <c r="D22" s="205">
        <f>D15*1000</f>
        <v>0</v>
      </c>
      <c r="E22" s="205">
        <f t="shared" ref="E22:X23" si="6">E15*1000</f>
        <v>0</v>
      </c>
      <c r="F22" s="205">
        <f t="shared" si="6"/>
        <v>0</v>
      </c>
      <c r="G22" s="205">
        <f t="shared" si="6"/>
        <v>0</v>
      </c>
      <c r="H22" s="205">
        <f t="shared" si="6"/>
        <v>0</v>
      </c>
      <c r="I22" s="205">
        <f t="shared" si="6"/>
        <v>0</v>
      </c>
      <c r="J22" s="205">
        <f t="shared" si="6"/>
        <v>0</v>
      </c>
      <c r="K22" s="205">
        <f t="shared" si="6"/>
        <v>83503000</v>
      </c>
      <c r="L22" s="205">
        <f t="shared" si="6"/>
        <v>85301000</v>
      </c>
      <c r="M22" s="205">
        <f t="shared" si="6"/>
        <v>101778000</v>
      </c>
      <c r="N22" s="205">
        <f t="shared" si="6"/>
        <v>111880000</v>
      </c>
      <c r="O22" s="205">
        <f t="shared" si="6"/>
        <v>112544000</v>
      </c>
      <c r="P22" s="205">
        <f t="shared" si="6"/>
        <v>110043000</v>
      </c>
      <c r="Q22" s="205">
        <f t="shared" si="6"/>
        <v>90003000</v>
      </c>
      <c r="R22" s="205">
        <f t="shared" si="6"/>
        <v>90635000</v>
      </c>
      <c r="S22" s="205">
        <f t="shared" si="6"/>
        <v>102446000</v>
      </c>
      <c r="T22" s="205">
        <f t="shared" si="6"/>
        <v>104345000</v>
      </c>
      <c r="U22" s="205">
        <f t="shared" si="6"/>
        <v>110060000</v>
      </c>
      <c r="V22" s="205">
        <f t="shared" si="6"/>
        <v>61082000</v>
      </c>
      <c r="W22" s="205">
        <f t="shared" si="6"/>
        <v>65362000</v>
      </c>
      <c r="X22" s="205">
        <f t="shared" si="6"/>
        <v>100622000</v>
      </c>
      <c r="Y22" s="73">
        <f>AVERAGE(E22:X22)</f>
        <v>66480200</v>
      </c>
      <c r="Z22" s="73">
        <f>AVERAGE(E22:U22)</f>
        <v>64855176.470588237</v>
      </c>
      <c r="AA22" s="512">
        <f>X22+X22*AA38</f>
        <v>103904239.63772288</v>
      </c>
      <c r="AB22" s="512">
        <f t="shared" ref="AB22" si="7">AA22+AA22*AB38</f>
        <v>107293544.30137885</v>
      </c>
      <c r="AC22" s="512">
        <f t="shared" ref="AC22" si="8">AB22+AB22*AC38</f>
        <v>110793406.39890982</v>
      </c>
      <c r="AD22" s="512">
        <f t="shared" ref="AD22" si="9">AC22+AC22*AD38</f>
        <v>114407432.25886929</v>
      </c>
      <c r="AE22" s="512">
        <f t="shared" ref="AE22" si="10">AD22+AD22*AE38</f>
        <v>118139345.84645607</v>
      </c>
      <c r="AF22" s="512">
        <f t="shared" ref="AF22" si="11">AE22+AE22*AF38</f>
        <v>121992992.60076317</v>
      </c>
      <c r="AG22" s="512">
        <f t="shared" ref="AG22" si="12">AF22+AF22*AG38</f>
        <v>125972343.39719595</v>
      </c>
      <c r="AH22" s="512">
        <f t="shared" ref="AH22" si="13">AG22+AG22*AH38</f>
        <v>130081498.63914219</v>
      </c>
      <c r="AI22" s="512">
        <f t="shared" ref="AI22" si="14">AH22+AH22*AI38</f>
        <v>134324692.48311058</v>
      </c>
      <c r="AJ22" s="512">
        <f t="shared" ref="AJ22" si="15">AI22+AI22*AJ38</f>
        <v>138706297.20169103</v>
      </c>
      <c r="AK22" s="512">
        <f t="shared" ref="AK22" si="16">AJ22+AJ22*AK38</f>
        <v>143230827.68883261</v>
      </c>
    </row>
    <row r="23" spans="1:37" s="200" customFormat="1" ht="12">
      <c r="A23" s="82" t="s">
        <v>967</v>
      </c>
      <c r="B23" s="494" t="s">
        <v>968</v>
      </c>
      <c r="C23" s="82"/>
      <c r="D23" s="205">
        <f>D16*1000</f>
        <v>0</v>
      </c>
      <c r="E23" s="205">
        <f t="shared" si="6"/>
        <v>0</v>
      </c>
      <c r="F23" s="205">
        <f t="shared" si="6"/>
        <v>0</v>
      </c>
      <c r="G23" s="205">
        <f t="shared" si="6"/>
        <v>0</v>
      </c>
      <c r="H23" s="205">
        <f t="shared" si="6"/>
        <v>0</v>
      </c>
      <c r="I23" s="205">
        <f t="shared" si="6"/>
        <v>0</v>
      </c>
      <c r="J23" s="205">
        <f t="shared" si="6"/>
        <v>0</v>
      </c>
      <c r="K23" s="511">
        <f>K22/K19</f>
        <v>1.7893372190198642</v>
      </c>
      <c r="L23" s="511">
        <f t="shared" ref="L23:X23" si="17">L22/L19</f>
        <v>1.8311615825515746</v>
      </c>
      <c r="M23" s="511">
        <f t="shared" si="17"/>
        <v>2.1412972586312091</v>
      </c>
      <c r="N23" s="511">
        <f t="shared" si="17"/>
        <v>2.5030202693632826</v>
      </c>
      <c r="O23" s="511">
        <f t="shared" si="17"/>
        <v>2.4432094477249047</v>
      </c>
      <c r="P23" s="511">
        <f t="shared" si="17"/>
        <v>2.2333779834388698</v>
      </c>
      <c r="Q23" s="511">
        <f t="shared" si="17"/>
        <v>1.4860317669979857</v>
      </c>
      <c r="R23" s="511">
        <f t="shared" si="17"/>
        <v>1.303556789253405</v>
      </c>
      <c r="S23" s="511">
        <f t="shared" si="17"/>
        <v>1.3592410773517314</v>
      </c>
      <c r="T23" s="511">
        <f t="shared" si="17"/>
        <v>1.3420060962277982</v>
      </c>
      <c r="U23" s="511">
        <f t="shared" si="17"/>
        <v>1.3517563252272169</v>
      </c>
      <c r="V23" s="511">
        <f t="shared" si="17"/>
        <v>1.2320632551384714</v>
      </c>
      <c r="W23" s="511">
        <f t="shared" si="17"/>
        <v>1.4103355270255691</v>
      </c>
      <c r="X23" s="511">
        <f t="shared" si="17"/>
        <v>1.4767383838680326</v>
      </c>
      <c r="Y23" s="511">
        <f>AVERAGE(K23:X23)</f>
        <v>1.7073666415585653</v>
      </c>
      <c r="Z23" s="511">
        <f>AVERAGE(K23:U23)</f>
        <v>1.7985450741625313</v>
      </c>
      <c r="AA23" s="513">
        <f t="shared" ref="AA23" si="18">AA22/AA19</f>
        <v>1.4920830294632712</v>
      </c>
      <c r="AB23" s="513">
        <f t="shared" ref="AB23" si="19">AB22/AB19</f>
        <v>1.5075871197854946</v>
      </c>
      <c r="AC23" s="513">
        <f t="shared" ref="AC23" si="20">AC22/AC19</f>
        <v>1.5232523116094261</v>
      </c>
      <c r="AD23" s="513">
        <f t="shared" ref="AD23" si="21">AD22/AD19</f>
        <v>1.5390802789251747</v>
      </c>
      <c r="AE23" s="513">
        <f t="shared" ref="AE23" si="22">AE22/AE19</f>
        <v>1.5550727131171194</v>
      </c>
      <c r="AF23" s="513">
        <f t="shared" ref="AF23" si="23">AF22/AF19</f>
        <v>1.5712313231446495</v>
      </c>
      <c r="AG23" s="513">
        <f t="shared" ref="AG23" si="24">AG22/AG19</f>
        <v>1.5875578357247864</v>
      </c>
      <c r="AH23" s="513">
        <f t="shared" ref="AH23" si="25">AH22/AH19</f>
        <v>1.604053995516701</v>
      </c>
      <c r="AI23" s="513">
        <f t="shared" ref="AI23" si="26">AI22/AI19</f>
        <v>1.6207215653081488</v>
      </c>
      <c r="AJ23" s="513">
        <f t="shared" ref="AJ23" si="27">AJ22/AJ19</f>
        <v>1.6375623262038421</v>
      </c>
      <c r="AK23" s="513">
        <f t="shared" ref="AK23" si="28">AK22/AK19</f>
        <v>1.6545780778157797</v>
      </c>
    </row>
    <row r="24" spans="1:37" s="200" customFormat="1" ht="12"/>
    <row r="25" spans="1:37" s="200" customFormat="1" ht="12">
      <c r="A25" s="202">
        <v>3</v>
      </c>
      <c r="B25" s="203"/>
      <c r="C25" s="203"/>
      <c r="D25" s="1907" t="s">
        <v>553</v>
      </c>
      <c r="E25" s="1908"/>
      <c r="F25" s="1908"/>
      <c r="G25" s="1908"/>
      <c r="H25" s="1908"/>
      <c r="I25" s="1908"/>
      <c r="J25" s="1908"/>
      <c r="K25" s="1908"/>
      <c r="L25" s="1908"/>
      <c r="M25" s="1908"/>
      <c r="N25" s="1908"/>
      <c r="O25" s="1908"/>
      <c r="P25" s="1908"/>
      <c r="Q25" s="1908"/>
      <c r="R25" s="1908"/>
      <c r="S25" s="1908"/>
      <c r="T25" s="1908"/>
      <c r="U25" s="1908"/>
      <c r="V25" s="1908"/>
      <c r="W25" s="1908"/>
      <c r="X25" s="1909"/>
      <c r="Y25" s="1907" t="s">
        <v>553</v>
      </c>
      <c r="Z25" s="1908"/>
      <c r="AA25" s="1908"/>
      <c r="AB25" s="1908"/>
      <c r="AC25" s="1908"/>
      <c r="AD25" s="1908"/>
      <c r="AE25" s="1908"/>
      <c r="AF25" s="1908"/>
      <c r="AG25" s="1908"/>
      <c r="AH25" s="1908"/>
      <c r="AI25" s="1908"/>
      <c r="AJ25" s="1908"/>
      <c r="AK25" s="1908"/>
    </row>
    <row r="26" spans="1:37" s="200" customFormat="1" ht="12">
      <c r="A26" s="204"/>
      <c r="B26" s="204"/>
      <c r="C26" s="204"/>
      <c r="D26" s="82" t="s">
        <v>289</v>
      </c>
      <c r="E26" s="82" t="s">
        <v>290</v>
      </c>
      <c r="F26" s="82" t="s">
        <v>291</v>
      </c>
      <c r="G26" s="82" t="s">
        <v>292</v>
      </c>
      <c r="H26" s="82" t="s">
        <v>293</v>
      </c>
      <c r="I26" s="82" t="s">
        <v>294</v>
      </c>
      <c r="J26" s="82" t="s">
        <v>295</v>
      </c>
      <c r="K26" s="82" t="s">
        <v>296</v>
      </c>
      <c r="L26" s="82" t="s">
        <v>297</v>
      </c>
      <c r="M26" s="82" t="s">
        <v>298</v>
      </c>
      <c r="N26" s="82" t="s">
        <v>299</v>
      </c>
      <c r="O26" s="82" t="s">
        <v>300</v>
      </c>
      <c r="P26" s="82" t="s">
        <v>301</v>
      </c>
      <c r="Q26" s="82" t="s">
        <v>302</v>
      </c>
      <c r="R26" s="82" t="s">
        <v>303</v>
      </c>
      <c r="S26" s="82" t="s">
        <v>304</v>
      </c>
      <c r="T26" s="82" t="s">
        <v>305</v>
      </c>
      <c r="U26" s="82" t="s">
        <v>306</v>
      </c>
      <c r="V26" s="82" t="s">
        <v>307</v>
      </c>
      <c r="W26" s="82" t="s">
        <v>308</v>
      </c>
      <c r="X26" s="82" t="s">
        <v>309</v>
      </c>
      <c r="Y26" s="72" t="s">
        <v>957</v>
      </c>
      <c r="Z26" s="72" t="s">
        <v>958</v>
      </c>
      <c r="AA26" s="82">
        <v>2023</v>
      </c>
      <c r="AB26" s="82">
        <v>2024</v>
      </c>
      <c r="AC26" s="82">
        <v>2025</v>
      </c>
      <c r="AD26" s="82">
        <v>2026</v>
      </c>
      <c r="AE26" s="82">
        <v>2027</v>
      </c>
      <c r="AF26" s="82">
        <v>2028</v>
      </c>
      <c r="AG26" s="82">
        <v>2029</v>
      </c>
      <c r="AH26" s="82">
        <v>2030</v>
      </c>
      <c r="AI26" s="82">
        <v>2031</v>
      </c>
      <c r="AJ26" s="82">
        <v>2032</v>
      </c>
      <c r="AK26" s="82">
        <v>2033</v>
      </c>
    </row>
    <row r="27" spans="1:37" s="200" customFormat="1" ht="12">
      <c r="A27" s="82" t="s">
        <v>546</v>
      </c>
      <c r="B27" s="82" t="s">
        <v>118</v>
      </c>
      <c r="C27" s="82"/>
      <c r="D27" s="76"/>
      <c r="E27" s="76">
        <f t="shared" ref="E27:X27" si="29">E19-D19</f>
        <v>-8156000</v>
      </c>
      <c r="F27" s="76">
        <f t="shared" si="29"/>
        <v>-949000</v>
      </c>
      <c r="G27" s="76">
        <f t="shared" si="29"/>
        <v>133000</v>
      </c>
      <c r="H27" s="76">
        <f t="shared" si="29"/>
        <v>-2020000</v>
      </c>
      <c r="I27" s="76">
        <f t="shared" si="29"/>
        <v>-1368000</v>
      </c>
      <c r="J27" s="76">
        <f t="shared" si="29"/>
        <v>1674000</v>
      </c>
      <c r="K27" s="76">
        <f t="shared" si="29"/>
        <v>-2077000</v>
      </c>
      <c r="L27" s="76">
        <f t="shared" si="29"/>
        <v>-84000</v>
      </c>
      <c r="M27" s="76">
        <f t="shared" si="29"/>
        <v>948000</v>
      </c>
      <c r="N27" s="76">
        <f t="shared" si="29"/>
        <v>-2833000</v>
      </c>
      <c r="O27" s="76">
        <f t="shared" si="29"/>
        <v>1366000</v>
      </c>
      <c r="P27" s="76">
        <f t="shared" si="29"/>
        <v>3208000</v>
      </c>
      <c r="Q27" s="76">
        <f t="shared" si="29"/>
        <v>11294000</v>
      </c>
      <c r="R27" s="76">
        <f t="shared" si="29"/>
        <v>8963000</v>
      </c>
      <c r="S27" s="76">
        <f t="shared" si="29"/>
        <v>5841000</v>
      </c>
      <c r="T27" s="76">
        <f t="shared" si="29"/>
        <v>2383000</v>
      </c>
      <c r="U27" s="76">
        <f t="shared" si="29"/>
        <v>3667000</v>
      </c>
      <c r="V27" s="76">
        <f t="shared" si="29"/>
        <v>-31843000</v>
      </c>
      <c r="W27" s="76">
        <f t="shared" si="29"/>
        <v>-3232000</v>
      </c>
      <c r="X27" s="76">
        <f t="shared" si="29"/>
        <v>21793000</v>
      </c>
      <c r="Y27" s="73">
        <f>AVERAGE(E27:X27)</f>
        <v>435400</v>
      </c>
      <c r="Z27" s="73">
        <f>AVERAGE(E27:U27)</f>
        <v>1293529.4117647058</v>
      </c>
      <c r="AA27" s="208">
        <f t="shared" ref="AA27:AK27" si="30">AA19-Z19</f>
        <v>14239271.294117644</v>
      </c>
      <c r="AB27" s="208">
        <f t="shared" si="30"/>
        <v>1532014.7919999957</v>
      </c>
      <c r="AC27" s="208">
        <f t="shared" si="30"/>
        <v>1565719.1174239963</v>
      </c>
      <c r="AD27" s="208">
        <f t="shared" si="30"/>
        <v>1600164.9380073249</v>
      </c>
      <c r="AE27" s="208">
        <f t="shared" si="30"/>
        <v>1635368.5666434914</v>
      </c>
      <c r="AF27" s="208">
        <f t="shared" si="30"/>
        <v>1671346.6751096398</v>
      </c>
      <c r="AG27" s="208">
        <f t="shared" si="30"/>
        <v>1708116.3019620627</v>
      </c>
      <c r="AH27" s="208">
        <f t="shared" si="30"/>
        <v>1745694.860605225</v>
      </c>
      <c r="AI27" s="208">
        <f t="shared" si="30"/>
        <v>1784100.1475385427</v>
      </c>
      <c r="AJ27" s="208">
        <f t="shared" si="30"/>
        <v>1823350.3507843912</v>
      </c>
      <c r="AK27" s="208">
        <f t="shared" si="30"/>
        <v>1863464.0585016459</v>
      </c>
    </row>
    <row r="28" spans="1:37" s="200" customFormat="1" ht="12">
      <c r="A28" s="82" t="s">
        <v>547</v>
      </c>
      <c r="B28" s="82" t="s">
        <v>109</v>
      </c>
      <c r="C28" s="82"/>
      <c r="D28" s="76"/>
      <c r="E28" s="76">
        <f t="shared" ref="E28:X28" si="31">E20-D20</f>
        <v>0</v>
      </c>
      <c r="F28" s="76">
        <f t="shared" si="31"/>
        <v>31143000</v>
      </c>
      <c r="G28" s="76">
        <f t="shared" si="31"/>
        <v>194000</v>
      </c>
      <c r="H28" s="76">
        <f t="shared" si="31"/>
        <v>-66000</v>
      </c>
      <c r="I28" s="76">
        <f t="shared" si="31"/>
        <v>3997000</v>
      </c>
      <c r="J28" s="76">
        <f t="shared" si="31"/>
        <v>-3949000</v>
      </c>
      <c r="K28" s="76">
        <f t="shared" si="31"/>
        <v>-143000</v>
      </c>
      <c r="L28" s="76">
        <f t="shared" si="31"/>
        <v>415000</v>
      </c>
      <c r="M28" s="76">
        <f t="shared" si="31"/>
        <v>-870000</v>
      </c>
      <c r="N28" s="76">
        <f t="shared" si="31"/>
        <v>650000</v>
      </c>
      <c r="O28" s="76">
        <f t="shared" si="31"/>
        <v>58000</v>
      </c>
      <c r="P28" s="76">
        <f t="shared" si="31"/>
        <v>419000</v>
      </c>
      <c r="Q28" s="76">
        <f t="shared" si="31"/>
        <v>2303000</v>
      </c>
      <c r="R28" s="76">
        <f t="shared" si="31"/>
        <v>-632000</v>
      </c>
      <c r="S28" s="76">
        <f t="shared" si="31"/>
        <v>-459000</v>
      </c>
      <c r="T28" s="76">
        <f t="shared" si="31"/>
        <v>1997000</v>
      </c>
      <c r="U28" s="76">
        <f t="shared" si="31"/>
        <v>1872000</v>
      </c>
      <c r="V28" s="76">
        <f t="shared" si="31"/>
        <v>-2830000</v>
      </c>
      <c r="W28" s="76">
        <f t="shared" si="31"/>
        <v>546000</v>
      </c>
      <c r="X28" s="76">
        <f t="shared" si="31"/>
        <v>1383000</v>
      </c>
      <c r="Y28" s="73">
        <f>AVERAGE(G28:X28)</f>
        <v>271388.88888888888</v>
      </c>
      <c r="Z28" s="73">
        <f>AVERAGE(G28:U28)</f>
        <v>385733.33333333331</v>
      </c>
      <c r="AA28" s="208">
        <f t="shared" ref="AA28:AK28" si="32">AA20-Z20</f>
        <v>3817992.6959815025</v>
      </c>
      <c r="AB28" s="208">
        <f t="shared" si="32"/>
        <v>465660.61324802041</v>
      </c>
      <c r="AC28" s="208">
        <f t="shared" si="32"/>
        <v>471603.41742192954</v>
      </c>
      <c r="AD28" s="208">
        <f t="shared" si="32"/>
        <v>477622.06421693414</v>
      </c>
      <c r="AE28" s="208">
        <f t="shared" si="32"/>
        <v>483717.52154364437</v>
      </c>
      <c r="AF28" s="208">
        <f t="shared" si="32"/>
        <v>489890.76966521889</v>
      </c>
      <c r="AG28" s="208">
        <f t="shared" si="32"/>
        <v>496142.80135503411</v>
      </c>
      <c r="AH28" s="208">
        <f t="shared" si="32"/>
        <v>502474.62205635011</v>
      </c>
      <c r="AI28" s="208">
        <f t="shared" si="32"/>
        <v>508887.25004395843</v>
      </c>
      <c r="AJ28" s="208">
        <f t="shared" si="32"/>
        <v>515381.71658799052</v>
      </c>
      <c r="AK28" s="208">
        <f t="shared" si="32"/>
        <v>521959.06611973047</v>
      </c>
    </row>
    <row r="29" spans="1:37" s="200" customFormat="1" ht="12">
      <c r="A29" s="82" t="s">
        <v>549</v>
      </c>
      <c r="B29" s="82" t="s">
        <v>548</v>
      </c>
      <c r="C29" s="82"/>
      <c r="D29" s="76"/>
      <c r="E29" s="76">
        <f t="shared" ref="E29:X29" si="33">E21-D21</f>
        <v>-366000000</v>
      </c>
      <c r="F29" s="76">
        <f t="shared" si="33"/>
        <v>-88000000</v>
      </c>
      <c r="G29" s="76">
        <f t="shared" si="33"/>
        <v>-46000000</v>
      </c>
      <c r="H29" s="76">
        <f t="shared" si="33"/>
        <v>31000000</v>
      </c>
      <c r="I29" s="76">
        <f t="shared" si="33"/>
        <v>-48000000</v>
      </c>
      <c r="J29" s="76">
        <f t="shared" si="33"/>
        <v>131000000</v>
      </c>
      <c r="K29" s="76">
        <f t="shared" si="33"/>
        <v>-32000000</v>
      </c>
      <c r="L29" s="76">
        <f t="shared" si="33"/>
        <v>45000000</v>
      </c>
      <c r="M29" s="76">
        <f t="shared" si="33"/>
        <v>122000000</v>
      </c>
      <c r="N29" s="76">
        <f t="shared" si="33"/>
        <v>28000000</v>
      </c>
      <c r="O29" s="76">
        <f t="shared" si="33"/>
        <v>26000000</v>
      </c>
      <c r="P29" s="76">
        <f t="shared" si="33"/>
        <v>98000000</v>
      </c>
      <c r="Q29" s="76">
        <f t="shared" si="33"/>
        <v>828000000</v>
      </c>
      <c r="R29" s="76">
        <f t="shared" si="33"/>
        <v>184000000</v>
      </c>
      <c r="S29" s="76">
        <f t="shared" si="33"/>
        <v>278000000</v>
      </c>
      <c r="T29" s="76">
        <f t="shared" si="33"/>
        <v>42000000</v>
      </c>
      <c r="U29" s="76">
        <f t="shared" si="33"/>
        <v>178000000</v>
      </c>
      <c r="V29" s="76">
        <f t="shared" si="33"/>
        <v>-1913000000</v>
      </c>
      <c r="W29" s="76">
        <f t="shared" si="33"/>
        <v>-128000000</v>
      </c>
      <c r="X29" s="76">
        <f t="shared" si="33"/>
        <v>1302000000</v>
      </c>
      <c r="Y29" s="73">
        <f>AVERAGE(E29:X29)</f>
        <v>33600000</v>
      </c>
      <c r="Z29" s="73">
        <f>AVERAGE(E29:U29)</f>
        <v>83000000</v>
      </c>
      <c r="AA29" s="208">
        <f t="shared" ref="AA29:AK29" si="34">AA21-Z21</f>
        <v>695956246.99801445</v>
      </c>
      <c r="AB29" s="208">
        <f t="shared" si="34"/>
        <v>98701506.788695335</v>
      </c>
      <c r="AC29" s="208">
        <f t="shared" si="34"/>
        <v>101525307.07626009</v>
      </c>
      <c r="AD29" s="208">
        <f t="shared" si="34"/>
        <v>104429894.86467934</v>
      </c>
      <c r="AE29" s="208">
        <f t="shared" si="34"/>
        <v>107417581.44357395</v>
      </c>
      <c r="AF29" s="208">
        <f t="shared" si="34"/>
        <v>110490744.22739267</v>
      </c>
      <c r="AG29" s="208">
        <f t="shared" si="34"/>
        <v>113651828.64721346</v>
      </c>
      <c r="AH29" s="208">
        <f t="shared" si="34"/>
        <v>116903350.09666109</v>
      </c>
      <c r="AI29" s="208">
        <f t="shared" si="34"/>
        <v>120247895.9335041</v>
      </c>
      <c r="AJ29" s="208">
        <f t="shared" si="34"/>
        <v>123688127.53850937</v>
      </c>
      <c r="AK29" s="208">
        <f t="shared" si="34"/>
        <v>127226782.4332037</v>
      </c>
    </row>
    <row r="30" spans="1:37" s="200" customFormat="1" ht="12">
      <c r="A30" s="82" t="s">
        <v>270</v>
      </c>
      <c r="B30" s="494" t="s">
        <v>120</v>
      </c>
      <c r="C30" s="82"/>
      <c r="D30" s="76"/>
      <c r="E30" s="76">
        <f t="shared" ref="E30" si="35">E22-D22</f>
        <v>0</v>
      </c>
      <c r="F30" s="76">
        <f t="shared" ref="F30" si="36">F22-E22</f>
        <v>0</v>
      </c>
      <c r="G30" s="76">
        <f t="shared" ref="G30" si="37">G22-F22</f>
        <v>0</v>
      </c>
      <c r="H30" s="76">
        <f t="shared" ref="H30" si="38">H22-G22</f>
        <v>0</v>
      </c>
      <c r="I30" s="76">
        <f t="shared" ref="I30" si="39">I22-H22</f>
        <v>0</v>
      </c>
      <c r="J30" s="76">
        <f t="shared" ref="J30" si="40">J22-I22</f>
        <v>0</v>
      </c>
      <c r="K30" s="76">
        <f t="shared" ref="K30" si="41">K22-J22</f>
        <v>83503000</v>
      </c>
      <c r="L30" s="76">
        <f t="shared" ref="L30" si="42">L22-K22</f>
        <v>1798000</v>
      </c>
      <c r="M30" s="76">
        <f t="shared" ref="M30:M31" si="43">M22-L22</f>
        <v>16477000</v>
      </c>
      <c r="N30" s="76">
        <f t="shared" ref="N30:N31" si="44">N22-M22</f>
        <v>10102000</v>
      </c>
      <c r="O30" s="76">
        <f t="shared" ref="O30:O31" si="45">O22-N22</f>
        <v>664000</v>
      </c>
      <c r="P30" s="76">
        <f t="shared" ref="P30:P31" si="46">P22-O22</f>
        <v>-2501000</v>
      </c>
      <c r="Q30" s="76">
        <f t="shared" ref="Q30:Q31" si="47">Q22-P22</f>
        <v>-20040000</v>
      </c>
      <c r="R30" s="76">
        <f t="shared" ref="R30:R31" si="48">R22-Q22</f>
        <v>632000</v>
      </c>
      <c r="S30" s="76">
        <f t="shared" ref="S30:S31" si="49">S22-R22</f>
        <v>11811000</v>
      </c>
      <c r="T30" s="76">
        <f t="shared" ref="T30:T31" si="50">T22-S22</f>
        <v>1899000</v>
      </c>
      <c r="U30" s="76">
        <f t="shared" ref="U30:U31" si="51">U22-T22</f>
        <v>5715000</v>
      </c>
      <c r="V30" s="76">
        <f t="shared" ref="V30:V31" si="52">V22-U22</f>
        <v>-48978000</v>
      </c>
      <c r="W30" s="76">
        <f t="shared" ref="W30:W31" si="53">W22-V22</f>
        <v>4280000</v>
      </c>
      <c r="X30" s="76">
        <f t="shared" ref="X30:X31" si="54">X22-W22</f>
        <v>35260000</v>
      </c>
      <c r="Y30" s="73">
        <f>AVERAGE(E30:X30)</f>
        <v>5031100</v>
      </c>
      <c r="Z30" s="73">
        <f>AVERAGE(E30:U30)</f>
        <v>6474117.6470588231</v>
      </c>
      <c r="AA30" s="208">
        <f t="shared" ref="AA30" si="55">AA22-Z22</f>
        <v>39049063.167134643</v>
      </c>
      <c r="AB30" s="208">
        <f t="shared" ref="AB30" si="56">AB22-AA22</f>
        <v>3389304.6636559665</v>
      </c>
      <c r="AC30" s="208">
        <f t="shared" ref="AC30" si="57">AC22-AB22</f>
        <v>3499862.0975309759</v>
      </c>
      <c r="AD30" s="208">
        <f t="shared" ref="AD30" si="58">AD22-AC22</f>
        <v>3614025.8599594682</v>
      </c>
      <c r="AE30" s="208">
        <f t="shared" ref="AE30" si="59">AE22-AD22</f>
        <v>3731913.5875867754</v>
      </c>
      <c r="AF30" s="208">
        <f t="shared" ref="AF30" si="60">AF22-AE22</f>
        <v>3853646.7543071061</v>
      </c>
      <c r="AG30" s="208">
        <f t="shared" ref="AG30" si="61">AG22-AF22</f>
        <v>3979350.7964327782</v>
      </c>
      <c r="AH30" s="208">
        <f t="shared" ref="AH30" si="62">AH22-AG22</f>
        <v>4109155.2419462353</v>
      </c>
      <c r="AI30" s="208">
        <f t="shared" ref="AI30" si="63">AI22-AH22</f>
        <v>4243193.8439683914</v>
      </c>
      <c r="AJ30" s="208">
        <f t="shared" ref="AJ30" si="64">AJ22-AI22</f>
        <v>4381604.7185804546</v>
      </c>
      <c r="AK30" s="208">
        <f t="shared" ref="AK30" si="65">AK22-AJ22</f>
        <v>4524530.4871415794</v>
      </c>
    </row>
    <row r="31" spans="1:37" s="200" customFormat="1" ht="12">
      <c r="A31" s="82" t="s">
        <v>967</v>
      </c>
      <c r="B31" s="494" t="s">
        <v>968</v>
      </c>
      <c r="C31" s="82"/>
      <c r="D31" s="76"/>
      <c r="E31" s="76">
        <f t="shared" ref="E31" si="66">E23-D23</f>
        <v>0</v>
      </c>
      <c r="F31" s="76">
        <f t="shared" ref="F31" si="67">F23-E23</f>
        <v>0</v>
      </c>
      <c r="G31" s="76">
        <f t="shared" ref="G31" si="68">G23-F23</f>
        <v>0</v>
      </c>
      <c r="H31" s="76">
        <f t="shared" ref="H31" si="69">H23-G23</f>
        <v>0</v>
      </c>
      <c r="I31" s="76">
        <f t="shared" ref="I31" si="70">I23-H23</f>
        <v>0</v>
      </c>
      <c r="J31" s="76">
        <f t="shared" ref="J31" si="71">J23-I23</f>
        <v>0</v>
      </c>
      <c r="K31" s="76"/>
      <c r="L31" s="527">
        <f t="shared" ref="L31" si="72">L23-K23</f>
        <v>4.1824363531710373E-2</v>
      </c>
      <c r="M31" s="527">
        <f t="shared" si="43"/>
        <v>0.31013567607963455</v>
      </c>
      <c r="N31" s="527">
        <f t="shared" si="44"/>
        <v>0.36172301073207347</v>
      </c>
      <c r="O31" s="527">
        <f t="shared" si="45"/>
        <v>-5.981082163837792E-2</v>
      </c>
      <c r="P31" s="527">
        <f t="shared" si="46"/>
        <v>-0.20983146428603483</v>
      </c>
      <c r="Q31" s="527">
        <f t="shared" si="47"/>
        <v>-0.74734621644088417</v>
      </c>
      <c r="R31" s="527">
        <f t="shared" si="48"/>
        <v>-0.18247497774458066</v>
      </c>
      <c r="S31" s="527">
        <f t="shared" si="49"/>
        <v>5.5684288098326373E-2</v>
      </c>
      <c r="T31" s="527">
        <f t="shared" si="50"/>
        <v>-1.723498112393318E-2</v>
      </c>
      <c r="U31" s="527">
        <f t="shared" si="51"/>
        <v>9.7502289994186864E-3</v>
      </c>
      <c r="V31" s="527">
        <f t="shared" si="52"/>
        <v>-0.11969307008874552</v>
      </c>
      <c r="W31" s="527">
        <f t="shared" si="53"/>
        <v>0.17827227188709771</v>
      </c>
      <c r="X31" s="527">
        <f t="shared" si="54"/>
        <v>6.6402856842463498E-2</v>
      </c>
      <c r="Y31" s="528">
        <f>AVERAGE(E31:X31)</f>
        <v>-1.6452570271149033E-2</v>
      </c>
      <c r="Z31" s="528">
        <f>AVERAGE(E31:U31)</f>
        <v>-2.7348805862040457E-2</v>
      </c>
      <c r="AA31" s="208">
        <f t="shared" ref="AA31" si="73">AA23-Z23</f>
        <v>-0.30646204469926008</v>
      </c>
      <c r="AB31" s="208">
        <f t="shared" ref="AB31" si="74">AB23-AA23</f>
        <v>1.5504090322223441E-2</v>
      </c>
      <c r="AC31" s="208">
        <f t="shared" ref="AC31" si="75">AC23-AB23</f>
        <v>1.5665191823931446E-2</v>
      </c>
      <c r="AD31" s="208">
        <f t="shared" ref="AD31" si="76">AD23-AC23</f>
        <v>1.5827967315748648E-2</v>
      </c>
      <c r="AE31" s="208">
        <f t="shared" ref="AE31" si="77">AE23-AD23</f>
        <v>1.5992434191944627E-2</v>
      </c>
      <c r="AF31" s="208">
        <f t="shared" ref="AF31" si="78">AF23-AE23</f>
        <v>1.6158610027530163E-2</v>
      </c>
      <c r="AG31" s="208">
        <f t="shared" ref="AG31" si="79">AG23-AF23</f>
        <v>1.6326512580136843E-2</v>
      </c>
      <c r="AH31" s="208">
        <f t="shared" ref="AH31" si="80">AH23-AG23</f>
        <v>1.6496159791914655E-2</v>
      </c>
      <c r="AI31" s="208">
        <f t="shared" ref="AI31" si="81">AI23-AH23</f>
        <v>1.6667569791447789E-2</v>
      </c>
      <c r="AJ31" s="208">
        <f t="shared" ref="AJ31" si="82">AJ23-AI23</f>
        <v>1.6840760895693307E-2</v>
      </c>
      <c r="AK31" s="208">
        <f t="shared" ref="AK31" si="83">AK23-AJ23</f>
        <v>1.701575161193758E-2</v>
      </c>
    </row>
    <row r="32" spans="1:37" s="200" customFormat="1" ht="12">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206"/>
      <c r="AC32" s="206"/>
      <c r="AD32" s="206"/>
      <c r="AE32" s="206"/>
      <c r="AF32" s="206"/>
      <c r="AG32" s="206"/>
      <c r="AH32" s="206"/>
      <c r="AI32" s="206"/>
      <c r="AJ32" s="206"/>
      <c r="AK32" s="206"/>
    </row>
    <row r="33" spans="1:37" s="200" customFormat="1" ht="12">
      <c r="A33" s="202">
        <v>4</v>
      </c>
      <c r="B33" s="203"/>
      <c r="C33" s="203"/>
      <c r="D33" s="1907" t="s">
        <v>554</v>
      </c>
      <c r="E33" s="1908"/>
      <c r="F33" s="1908"/>
      <c r="G33" s="1908"/>
      <c r="H33" s="1908"/>
      <c r="I33" s="1908"/>
      <c r="J33" s="1908"/>
      <c r="K33" s="1908"/>
      <c r="L33" s="1908"/>
      <c r="M33" s="1908"/>
      <c r="N33" s="1908"/>
      <c r="O33" s="1908"/>
      <c r="P33" s="1908"/>
      <c r="Q33" s="1908"/>
      <c r="R33" s="1908"/>
      <c r="S33" s="1908"/>
      <c r="T33" s="1908"/>
      <c r="U33" s="1908"/>
      <c r="V33" s="1908"/>
      <c r="W33" s="1908"/>
      <c r="X33" s="1909"/>
      <c r="Y33" s="1907" t="s">
        <v>554</v>
      </c>
      <c r="Z33" s="1908"/>
      <c r="AA33" s="1908"/>
      <c r="AB33" s="1908"/>
      <c r="AC33" s="1908"/>
      <c r="AD33" s="1908"/>
      <c r="AE33" s="1908"/>
      <c r="AF33" s="1908"/>
      <c r="AG33" s="1908"/>
      <c r="AH33" s="1908"/>
      <c r="AI33" s="1908"/>
      <c r="AJ33" s="1908"/>
      <c r="AK33" s="1908"/>
    </row>
    <row r="34" spans="1:37" s="200" customFormat="1" ht="12">
      <c r="A34" s="204"/>
      <c r="B34" s="204"/>
      <c r="C34" s="204"/>
      <c r="D34" s="82" t="s">
        <v>289</v>
      </c>
      <c r="E34" s="82" t="s">
        <v>290</v>
      </c>
      <c r="F34" s="82" t="s">
        <v>291</v>
      </c>
      <c r="G34" s="82" t="s">
        <v>292</v>
      </c>
      <c r="H34" s="82" t="s">
        <v>293</v>
      </c>
      <c r="I34" s="82" t="s">
        <v>294</v>
      </c>
      <c r="J34" s="82" t="s">
        <v>295</v>
      </c>
      <c r="K34" s="82" t="s">
        <v>296</v>
      </c>
      <c r="L34" s="82" t="s">
        <v>297</v>
      </c>
      <c r="M34" s="82" t="s">
        <v>298</v>
      </c>
      <c r="N34" s="82" t="s">
        <v>299</v>
      </c>
      <c r="O34" s="82" t="s">
        <v>300</v>
      </c>
      <c r="P34" s="82" t="s">
        <v>301</v>
      </c>
      <c r="Q34" s="82" t="s">
        <v>302</v>
      </c>
      <c r="R34" s="82" t="s">
        <v>303</v>
      </c>
      <c r="S34" s="82" t="s">
        <v>304</v>
      </c>
      <c r="T34" s="82" t="s">
        <v>305</v>
      </c>
      <c r="U34" s="82" t="s">
        <v>306</v>
      </c>
      <c r="V34" s="82" t="s">
        <v>307</v>
      </c>
      <c r="W34" s="82" t="s">
        <v>308</v>
      </c>
      <c r="X34" s="82" t="s">
        <v>309</v>
      </c>
      <c r="Y34" s="72" t="s">
        <v>957</v>
      </c>
      <c r="Z34" s="72" t="s">
        <v>958</v>
      </c>
      <c r="AA34" s="82">
        <v>2023</v>
      </c>
      <c r="AB34" s="82">
        <v>2024</v>
      </c>
      <c r="AC34" s="82">
        <v>2025</v>
      </c>
      <c r="AD34" s="82">
        <v>2026</v>
      </c>
      <c r="AE34" s="82">
        <v>2027</v>
      </c>
      <c r="AF34" s="82">
        <v>2028</v>
      </c>
      <c r="AG34" s="82">
        <v>2029</v>
      </c>
      <c r="AH34" s="82">
        <v>2030</v>
      </c>
      <c r="AI34" s="82">
        <v>2031</v>
      </c>
      <c r="AJ34" s="82">
        <v>2032</v>
      </c>
      <c r="AK34" s="82">
        <v>2033</v>
      </c>
    </row>
    <row r="35" spans="1:37" s="200" customFormat="1" ht="12">
      <c r="A35" s="82" t="s">
        <v>546</v>
      </c>
      <c r="B35" s="82" t="s">
        <v>119</v>
      </c>
      <c r="C35" s="82" t="s">
        <v>556</v>
      </c>
      <c r="D35" s="76" t="s">
        <v>555</v>
      </c>
      <c r="E35" s="77">
        <f t="shared" ref="E35:X35" si="84">E27/D19</f>
        <v>-0.13723708564697965</v>
      </c>
      <c r="F35" s="77">
        <f t="shared" si="84"/>
        <v>-1.8508405819713695E-2</v>
      </c>
      <c r="G35" s="77">
        <f t="shared" si="84"/>
        <v>2.6428216592151018E-3</v>
      </c>
      <c r="H35" s="77">
        <f t="shared" si="84"/>
        <v>-4.0033295017638429E-2</v>
      </c>
      <c r="I35" s="77">
        <f t="shared" si="84"/>
        <v>-2.8242289111854328E-2</v>
      </c>
      <c r="J35" s="77">
        <f t="shared" si="84"/>
        <v>3.5564053537284895E-2</v>
      </c>
      <c r="K35" s="77">
        <f t="shared" si="84"/>
        <v>-4.2610372558673885E-2</v>
      </c>
      <c r="L35" s="77">
        <f t="shared" si="84"/>
        <v>-1.7999871429489789E-3</v>
      </c>
      <c r="M35" s="77">
        <f t="shared" si="84"/>
        <v>2.0350771740763798E-2</v>
      </c>
      <c r="N35" s="77">
        <f t="shared" si="84"/>
        <v>-5.9603206328501399E-2</v>
      </c>
      <c r="O35" s="77">
        <f t="shared" si="84"/>
        <v>3.0560651483287841E-2</v>
      </c>
      <c r="P35" s="77">
        <f t="shared" si="84"/>
        <v>6.9642236887808268E-2</v>
      </c>
      <c r="Q35" s="77">
        <f t="shared" si="84"/>
        <v>0.22921740542295826</v>
      </c>
      <c r="R35" s="77">
        <f t="shared" si="84"/>
        <v>0.14798731961826767</v>
      </c>
      <c r="S35" s="77">
        <f t="shared" si="84"/>
        <v>8.4008111723165871E-2</v>
      </c>
      <c r="T35" s="77">
        <f t="shared" si="84"/>
        <v>3.1617354385033831E-2</v>
      </c>
      <c r="U35" s="77">
        <f t="shared" si="84"/>
        <v>4.7162167376178413E-2</v>
      </c>
      <c r="V35" s="77">
        <f t="shared" si="84"/>
        <v>-0.39109555391795625</v>
      </c>
      <c r="W35" s="77">
        <f t="shared" si="84"/>
        <v>-6.5191520261411548E-2</v>
      </c>
      <c r="X35" s="77">
        <f t="shared" si="84"/>
        <v>0.47023411371237456</v>
      </c>
      <c r="Y35" s="98">
        <f>AVERAGE(E35:X35)</f>
        <v>1.9233264587033012E-2</v>
      </c>
      <c r="Z35" s="98">
        <f>AVERAGE(E35:U35)</f>
        <v>2.1806956012214912E-2</v>
      </c>
      <c r="AA35" s="207">
        <v>2.1999999999999999E-2</v>
      </c>
      <c r="AB35" s="207">
        <f>AA35</f>
        <v>2.1999999999999999E-2</v>
      </c>
      <c r="AC35" s="207">
        <f t="shared" ref="AC35:AK35" si="85">AB35</f>
        <v>2.1999999999999999E-2</v>
      </c>
      <c r="AD35" s="207">
        <f t="shared" si="85"/>
        <v>2.1999999999999999E-2</v>
      </c>
      <c r="AE35" s="207">
        <f t="shared" si="85"/>
        <v>2.1999999999999999E-2</v>
      </c>
      <c r="AF35" s="207">
        <f t="shared" si="85"/>
        <v>2.1999999999999999E-2</v>
      </c>
      <c r="AG35" s="207">
        <f t="shared" si="85"/>
        <v>2.1999999999999999E-2</v>
      </c>
      <c r="AH35" s="207">
        <f t="shared" si="85"/>
        <v>2.1999999999999999E-2</v>
      </c>
      <c r="AI35" s="207">
        <f t="shared" si="85"/>
        <v>2.1999999999999999E-2</v>
      </c>
      <c r="AJ35" s="207">
        <f t="shared" si="85"/>
        <v>2.1999999999999999E-2</v>
      </c>
      <c r="AK35" s="207">
        <f t="shared" si="85"/>
        <v>2.1999999999999999E-2</v>
      </c>
    </row>
    <row r="36" spans="1:37" s="200" customFormat="1" ht="12">
      <c r="A36" s="82" t="s">
        <v>547</v>
      </c>
      <c r="B36" s="82" t="s">
        <v>119</v>
      </c>
      <c r="C36" s="82"/>
      <c r="D36" s="76"/>
      <c r="E36" s="77" t="e">
        <f t="shared" ref="E36:X36" si="86">E28/D20</f>
        <v>#DIV/0!</v>
      </c>
      <c r="F36" s="77" t="e">
        <f t="shared" si="86"/>
        <v>#DIV/0!</v>
      </c>
      <c r="G36" s="77">
        <f t="shared" si="86"/>
        <v>6.2293292232604436E-3</v>
      </c>
      <c r="H36" s="77">
        <f t="shared" si="86"/>
        <v>-2.1061365159396241E-3</v>
      </c>
      <c r="I36" s="77">
        <f t="shared" si="86"/>
        <v>0.12781810623261169</v>
      </c>
      <c r="J36" s="77">
        <f t="shared" si="86"/>
        <v>-0.11197119201542474</v>
      </c>
      <c r="K36" s="77">
        <f t="shared" si="86"/>
        <v>-4.565918452057856E-3</v>
      </c>
      <c r="L36" s="77">
        <f t="shared" si="86"/>
        <v>1.3311521683346164E-2</v>
      </c>
      <c r="M36" s="77">
        <f t="shared" si="86"/>
        <v>-2.7539489094995411E-2</v>
      </c>
      <c r="N36" s="77">
        <f t="shared" si="86"/>
        <v>2.1158165424302593E-2</v>
      </c>
      <c r="O36" s="77">
        <f t="shared" si="86"/>
        <v>1.8488412865385229E-3</v>
      </c>
      <c r="P36" s="77">
        <f t="shared" si="86"/>
        <v>1.3331636386776544E-2</v>
      </c>
      <c r="Q36" s="77">
        <f t="shared" si="86"/>
        <v>7.2312233107259483E-2</v>
      </c>
      <c r="R36" s="77">
        <f t="shared" si="86"/>
        <v>-1.8506046675060759E-2</v>
      </c>
      <c r="S36" s="77">
        <f t="shared" si="86"/>
        <v>-1.3693725946478117E-2</v>
      </c>
      <c r="T36" s="77">
        <f t="shared" si="86"/>
        <v>6.0405323653962492E-2</v>
      </c>
      <c r="U36" s="77">
        <f t="shared" si="86"/>
        <v>5.339875060615569E-2</v>
      </c>
      <c r="V36" s="77">
        <f t="shared" si="86"/>
        <v>-7.6633540036285849E-2</v>
      </c>
      <c r="W36" s="77">
        <f t="shared" si="86"/>
        <v>1.6012199771254287E-2</v>
      </c>
      <c r="X36" s="77">
        <f t="shared" si="86"/>
        <v>3.9919180256891326E-2</v>
      </c>
      <c r="Y36" s="98">
        <f>AVERAGE(G36:X36)</f>
        <v>9.4849577164509355E-3</v>
      </c>
      <c r="Z36" s="98">
        <f>AVERAGE(G36:U36)</f>
        <v>1.2762093260283805E-2</v>
      </c>
      <c r="AA36" s="207">
        <f t="shared" ref="AA36:AK36" si="87">Z36</f>
        <v>1.2762093260283805E-2</v>
      </c>
      <c r="AB36" s="207">
        <f t="shared" si="87"/>
        <v>1.2762093260283805E-2</v>
      </c>
      <c r="AC36" s="207">
        <f t="shared" si="87"/>
        <v>1.2762093260283805E-2</v>
      </c>
      <c r="AD36" s="207">
        <f t="shared" si="87"/>
        <v>1.2762093260283805E-2</v>
      </c>
      <c r="AE36" s="207">
        <f t="shared" si="87"/>
        <v>1.2762093260283805E-2</v>
      </c>
      <c r="AF36" s="207">
        <f t="shared" si="87"/>
        <v>1.2762093260283805E-2</v>
      </c>
      <c r="AG36" s="207">
        <f t="shared" si="87"/>
        <v>1.2762093260283805E-2</v>
      </c>
      <c r="AH36" s="207">
        <f t="shared" si="87"/>
        <v>1.2762093260283805E-2</v>
      </c>
      <c r="AI36" s="207">
        <f t="shared" si="87"/>
        <v>1.2762093260283805E-2</v>
      </c>
      <c r="AJ36" s="207">
        <f t="shared" si="87"/>
        <v>1.2762093260283805E-2</v>
      </c>
      <c r="AK36" s="207">
        <f t="shared" si="87"/>
        <v>1.2762093260283805E-2</v>
      </c>
    </row>
    <row r="37" spans="1:37" s="200" customFormat="1" ht="12">
      <c r="A37" s="82" t="s">
        <v>549</v>
      </c>
      <c r="B37" s="82" t="s">
        <v>119</v>
      </c>
      <c r="C37" s="82"/>
      <c r="D37" s="76"/>
      <c r="E37" s="77">
        <f t="shared" ref="E37:X37" si="88">E29/D21</f>
        <v>-0.13646532438478748</v>
      </c>
      <c r="F37" s="77">
        <f t="shared" si="88"/>
        <v>-3.7996545768566495E-2</v>
      </c>
      <c r="G37" s="77">
        <f t="shared" si="88"/>
        <v>-2.0646319569120289E-2</v>
      </c>
      <c r="H37" s="77">
        <f t="shared" si="88"/>
        <v>1.4207149404216315E-2</v>
      </c>
      <c r="I37" s="77">
        <f t="shared" si="88"/>
        <v>-2.1690013556258474E-2</v>
      </c>
      <c r="J37" s="77">
        <f t="shared" si="88"/>
        <v>6.0508083140877598E-2</v>
      </c>
      <c r="K37" s="77">
        <f t="shared" si="88"/>
        <v>-1.3937282229965157E-2</v>
      </c>
      <c r="L37" s="77">
        <f t="shared" si="88"/>
        <v>1.9876325088339222E-2</v>
      </c>
      <c r="M37" s="77">
        <f t="shared" si="88"/>
        <v>5.2836725855348633E-2</v>
      </c>
      <c r="N37" s="77">
        <f t="shared" si="88"/>
        <v>1.1517893870835048E-2</v>
      </c>
      <c r="O37" s="77">
        <f t="shared" si="88"/>
        <v>1.0573403822692151E-2</v>
      </c>
      <c r="P37" s="77">
        <f t="shared" si="88"/>
        <v>3.9436619718309862E-2</v>
      </c>
      <c r="Q37" s="77">
        <f t="shared" si="88"/>
        <v>0.32055749128919858</v>
      </c>
      <c r="R37" s="77">
        <f t="shared" si="88"/>
        <v>5.3943125183230724E-2</v>
      </c>
      <c r="S37" s="77">
        <f t="shared" si="88"/>
        <v>7.7329624478442285E-2</v>
      </c>
      <c r="T37" s="77">
        <f t="shared" si="88"/>
        <v>1.0844306738962044E-2</v>
      </c>
      <c r="U37" s="77">
        <f t="shared" si="88"/>
        <v>4.54661558109834E-2</v>
      </c>
      <c r="V37" s="77">
        <f t="shared" si="88"/>
        <v>-0.46738333740532617</v>
      </c>
      <c r="W37" s="77">
        <f t="shared" si="88"/>
        <v>-5.8715596330275233E-2</v>
      </c>
      <c r="X37" s="77">
        <f t="shared" si="88"/>
        <v>0.63450292397660824</v>
      </c>
      <c r="Y37" s="98">
        <f>AVERAGE(E37:X37)</f>
        <v>2.9738270456687244E-2</v>
      </c>
      <c r="Z37" s="98">
        <f>AVERAGE(E37:U37)</f>
        <v>2.8609495228984587E-2</v>
      </c>
      <c r="AA37" s="207">
        <f t="shared" ref="AA37:AK37" si="89">Z37</f>
        <v>2.8609495228984587E-2</v>
      </c>
      <c r="AB37" s="207">
        <f t="shared" si="89"/>
        <v>2.8609495228984587E-2</v>
      </c>
      <c r="AC37" s="207">
        <f t="shared" si="89"/>
        <v>2.8609495228984587E-2</v>
      </c>
      <c r="AD37" s="207">
        <f t="shared" si="89"/>
        <v>2.8609495228984587E-2</v>
      </c>
      <c r="AE37" s="207">
        <f t="shared" si="89"/>
        <v>2.8609495228984587E-2</v>
      </c>
      <c r="AF37" s="207">
        <f t="shared" si="89"/>
        <v>2.8609495228984587E-2</v>
      </c>
      <c r="AG37" s="207">
        <f t="shared" si="89"/>
        <v>2.8609495228984587E-2</v>
      </c>
      <c r="AH37" s="207">
        <f t="shared" si="89"/>
        <v>2.8609495228984587E-2</v>
      </c>
      <c r="AI37" s="207">
        <f t="shared" si="89"/>
        <v>2.8609495228984587E-2</v>
      </c>
      <c r="AJ37" s="207">
        <f t="shared" si="89"/>
        <v>2.8609495228984587E-2</v>
      </c>
      <c r="AK37" s="207">
        <f t="shared" si="89"/>
        <v>2.8609495228984587E-2</v>
      </c>
    </row>
    <row r="38" spans="1:37" s="200" customFormat="1" ht="12">
      <c r="A38" s="82" t="s">
        <v>270</v>
      </c>
      <c r="B38" s="494" t="s">
        <v>120</v>
      </c>
      <c r="C38" s="82"/>
      <c r="D38" s="76"/>
      <c r="E38" s="77" t="e">
        <f t="shared" ref="E38" si="90">E30/D22</f>
        <v>#DIV/0!</v>
      </c>
      <c r="F38" s="77" t="e">
        <f t="shared" ref="F38" si="91">F30/E22</f>
        <v>#DIV/0!</v>
      </c>
      <c r="G38" s="77" t="e">
        <f t="shared" ref="G38" si="92">G30/F22</f>
        <v>#DIV/0!</v>
      </c>
      <c r="H38" s="77" t="e">
        <f t="shared" ref="H38" si="93">H30/G22</f>
        <v>#DIV/0!</v>
      </c>
      <c r="I38" s="77" t="e">
        <f t="shared" ref="I38" si="94">I30/H22</f>
        <v>#DIV/0!</v>
      </c>
      <c r="J38" s="77" t="e">
        <f t="shared" ref="J38" si="95">J30/I22</f>
        <v>#DIV/0!</v>
      </c>
      <c r="K38" s="77" t="e">
        <f t="shared" ref="K38" si="96">K30/J22</f>
        <v>#DIV/0!</v>
      </c>
      <c r="L38" s="77">
        <f t="shared" ref="L38" si="97">L30/K22</f>
        <v>2.1532160521178879E-2</v>
      </c>
      <c r="M38" s="77">
        <f t="shared" ref="M38" si="98">M30/L22</f>
        <v>0.19316303443101487</v>
      </c>
      <c r="N38" s="77">
        <f t="shared" ref="N38" si="99">N30/M22</f>
        <v>9.9255241800782087E-2</v>
      </c>
      <c r="O38" s="77">
        <f t="shared" ref="O38" si="100">O30/N22</f>
        <v>5.9349302824454773E-3</v>
      </c>
      <c r="P38" s="77">
        <f t="shared" ref="P38" si="101">P30/O22</f>
        <v>-2.2222419675860108E-2</v>
      </c>
      <c r="Q38" s="77">
        <f t="shared" ref="Q38" si="102">Q30/P22</f>
        <v>-0.1821106294812028</v>
      </c>
      <c r="R38" s="77">
        <f t="shared" ref="R38" si="103">R30/Q22</f>
        <v>7.0219881559503575E-3</v>
      </c>
      <c r="S38" s="77">
        <f t="shared" ref="S38" si="104">S30/R22</f>
        <v>0.13031389639763888</v>
      </c>
      <c r="T38" s="77">
        <f t="shared" ref="T38" si="105">T30/S22</f>
        <v>1.8536594889014702E-2</v>
      </c>
      <c r="U38" s="77">
        <f t="shared" ref="U38" si="106">U30/T22</f>
        <v>5.4770233360486843E-2</v>
      </c>
      <c r="V38" s="77">
        <f t="shared" ref="V38" si="107">V30/U22</f>
        <v>-0.44501181173905141</v>
      </c>
      <c r="W38" s="77">
        <f t="shared" ref="W38" si="108">W30/V22</f>
        <v>7.0069742313611211E-2</v>
      </c>
      <c r="X38" s="77">
        <f t="shared" ref="X38" si="109">X30/W22</f>
        <v>0.53945717695296957</v>
      </c>
      <c r="Y38" s="98">
        <f>AVERAGE(L38:X38)</f>
        <v>3.7746933708382967E-2</v>
      </c>
      <c r="Z38" s="98">
        <f>AVERAGE(L38:U38)</f>
        <v>3.2619503068144921E-2</v>
      </c>
      <c r="AA38" s="207">
        <f t="shared" ref="AA38" si="110">Z38</f>
        <v>3.2619503068144921E-2</v>
      </c>
      <c r="AB38" s="207">
        <f t="shared" ref="AB38" si="111">AA38</f>
        <v>3.2619503068144921E-2</v>
      </c>
      <c r="AC38" s="207">
        <f t="shared" ref="AC38" si="112">AB38</f>
        <v>3.2619503068144921E-2</v>
      </c>
      <c r="AD38" s="207">
        <f t="shared" ref="AD38" si="113">AC38</f>
        <v>3.2619503068144921E-2</v>
      </c>
      <c r="AE38" s="207">
        <f t="shared" ref="AE38" si="114">AD38</f>
        <v>3.2619503068144921E-2</v>
      </c>
      <c r="AF38" s="207">
        <f t="shared" ref="AF38" si="115">AE38</f>
        <v>3.2619503068144921E-2</v>
      </c>
      <c r="AG38" s="207">
        <f t="shared" ref="AG38" si="116">AF38</f>
        <v>3.2619503068144921E-2</v>
      </c>
      <c r="AH38" s="207">
        <f t="shared" ref="AH38" si="117">AG38</f>
        <v>3.2619503068144921E-2</v>
      </c>
      <c r="AI38" s="207">
        <f t="shared" ref="AI38" si="118">AH38</f>
        <v>3.2619503068144921E-2</v>
      </c>
      <c r="AJ38" s="207">
        <f t="shared" ref="AJ38" si="119">AI38</f>
        <v>3.2619503068144921E-2</v>
      </c>
      <c r="AK38" s="207">
        <f t="shared" ref="AK38" si="120">AJ38</f>
        <v>3.2619503068144921E-2</v>
      </c>
    </row>
    <row r="39" spans="1:37">
      <c r="A39" s="82" t="s">
        <v>967</v>
      </c>
      <c r="B39" s="494" t="s">
        <v>968</v>
      </c>
      <c r="C39" s="82"/>
      <c r="D39" s="76"/>
      <c r="E39" s="77" t="e">
        <f t="shared" ref="E39" si="121">E31/D23</f>
        <v>#DIV/0!</v>
      </c>
      <c r="F39" s="77" t="e">
        <f t="shared" ref="F39" si="122">F31/E23</f>
        <v>#DIV/0!</v>
      </c>
      <c r="G39" s="77" t="e">
        <f t="shared" ref="G39" si="123">G31/F23</f>
        <v>#DIV/0!</v>
      </c>
      <c r="H39" s="77" t="e">
        <f t="shared" ref="H39" si="124">H31/G23</f>
        <v>#DIV/0!</v>
      </c>
      <c r="I39" s="77" t="e">
        <f t="shared" ref="I39" si="125">I31/H23</f>
        <v>#DIV/0!</v>
      </c>
      <c r="J39" s="77" t="e">
        <f t="shared" ref="J39" si="126">J31/I23</f>
        <v>#DIV/0!</v>
      </c>
      <c r="K39" s="77" t="e">
        <f t="shared" ref="K39" si="127">K31/J23</f>
        <v>#DIV/0!</v>
      </c>
      <c r="L39" s="77">
        <f t="shared" ref="L39" si="128">L31/K23</f>
        <v>2.3374220961334659E-2</v>
      </c>
      <c r="M39" s="77">
        <f t="shared" ref="M39" si="129">M31/L23</f>
        <v>0.16936554318023958</v>
      </c>
      <c r="N39" s="77">
        <f t="shared" ref="N39" si="130">N31/M23</f>
        <v>0.16892704143435894</v>
      </c>
      <c r="O39" s="77">
        <f t="shared" ref="O39" si="131">O31/N23</f>
        <v>-2.3895460364606866E-2</v>
      </c>
      <c r="P39" s="77">
        <f t="shared" ref="P39" si="132">P31/O23</f>
        <v>-8.5883535069589734E-2</v>
      </c>
      <c r="Q39" s="77">
        <f t="shared" ref="Q39" si="133">Q31/P23</f>
        <v>-0.33462594418977354</v>
      </c>
      <c r="R39" s="77">
        <f t="shared" ref="R39" si="134">R31/Q23</f>
        <v>-0.12279345690786166</v>
      </c>
      <c r="S39" s="77">
        <f t="shared" ref="S39" si="135">S31/R23</f>
        <v>4.2717193878617915E-2</v>
      </c>
      <c r="T39" s="77">
        <f t="shared" ref="T39" si="136">T31/S23</f>
        <v>-1.2679855995459498E-2</v>
      </c>
      <c r="U39" s="77">
        <f t="shared" ref="U39" si="137">U31/T23</f>
        <v>7.2654133441161645E-3</v>
      </c>
      <c r="V39" s="77">
        <f t="shared" ref="V39" si="138">V31/U23</f>
        <v>-8.8546336240465748E-2</v>
      </c>
      <c r="W39" s="77">
        <f t="shared" ref="W39" si="139">W31/V23</f>
        <v>0.14469409029413974</v>
      </c>
      <c r="X39" s="77">
        <f t="shared" ref="X39" si="140">X31/W23</f>
        <v>4.7083020720968927E-2</v>
      </c>
      <c r="Y39" s="98">
        <f>AVERAGE(L39:X39)</f>
        <v>-4.9998511503062436E-3</v>
      </c>
      <c r="Z39" s="98">
        <f>AVERAGE(L39:U39)</f>
        <v>-1.6822883972862405E-2</v>
      </c>
      <c r="AA39" s="207">
        <f t="shared" ref="AA39" si="141">Z39</f>
        <v>-1.6822883972862405E-2</v>
      </c>
      <c r="AB39" s="207">
        <f t="shared" ref="AB39" si="142">AA39</f>
        <v>-1.6822883972862405E-2</v>
      </c>
      <c r="AC39" s="207">
        <f t="shared" ref="AC39" si="143">AB39</f>
        <v>-1.6822883972862405E-2</v>
      </c>
      <c r="AD39" s="207">
        <f t="shared" ref="AD39" si="144">AC39</f>
        <v>-1.6822883972862405E-2</v>
      </c>
      <c r="AE39" s="207">
        <f t="shared" ref="AE39" si="145">AD39</f>
        <v>-1.6822883972862405E-2</v>
      </c>
      <c r="AF39" s="207">
        <f t="shared" ref="AF39" si="146">AE39</f>
        <v>-1.6822883972862405E-2</v>
      </c>
      <c r="AG39" s="207">
        <f t="shared" ref="AG39" si="147">AF39</f>
        <v>-1.6822883972862405E-2</v>
      </c>
      <c r="AH39" s="207">
        <f t="shared" ref="AH39" si="148">AG39</f>
        <v>-1.6822883972862405E-2</v>
      </c>
      <c r="AI39" s="207">
        <f t="shared" ref="AI39" si="149">AH39</f>
        <v>-1.6822883972862405E-2</v>
      </c>
      <c r="AJ39" s="207">
        <f t="shared" ref="AJ39" si="150">AI39</f>
        <v>-1.6822883972862405E-2</v>
      </c>
      <c r="AK39" s="207">
        <f t="shared" ref="AK39" si="151">AJ39</f>
        <v>-1.6822883972862405E-2</v>
      </c>
    </row>
  </sheetData>
  <mergeCells count="8">
    <mergeCell ref="D33:X33"/>
    <mergeCell ref="Y33:AK33"/>
    <mergeCell ref="D10:X10"/>
    <mergeCell ref="Y10:AK10"/>
    <mergeCell ref="D17:X17"/>
    <mergeCell ref="Y17:AK17"/>
    <mergeCell ref="D25:X25"/>
    <mergeCell ref="Y25:AK25"/>
  </mergeCells>
  <hyperlinks>
    <hyperlink ref="A3" r:id="rId1" location="!/view/sk/VBD_SK_WIN/do1003rs/v_do1003rs_00_00_00_sk"/>
    <hyperlink ref="A9" r:id="rId2" display="https://www.zssk.sk/o-spolocnosti/vyrocna-sprava/ "/>
    <hyperlink ref="A6" r:id="rId3"/>
  </hyperlinks>
  <pageMargins left="0.75" right="0.75" top="1" bottom="1" header="0.5" footer="0.5"/>
  <pageSetup orientation="portrait" r:id="rId4"/>
  <drawing r:id="rId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47"/>
  <sheetViews>
    <sheetView topLeftCell="A24" workbookViewId="0">
      <selection activeCell="P45" sqref="P45"/>
    </sheetView>
  </sheetViews>
  <sheetFormatPr defaultColWidth="8.85546875" defaultRowHeight="12.75"/>
  <cols>
    <col min="1" max="1" width="24" style="60" customWidth="1"/>
    <col min="2" max="2" width="8.85546875" style="60"/>
    <col min="3" max="3" width="18.140625" style="60" customWidth="1"/>
    <col min="4" max="11" width="10.5703125" style="60" hidden="1" customWidth="1"/>
    <col min="12" max="17" width="11.7109375" style="60" customWidth="1"/>
    <col min="18" max="21" width="10.5703125" style="60" customWidth="1"/>
    <col min="22" max="37" width="11.140625" style="60" customWidth="1"/>
    <col min="38" max="16384" width="8.85546875" style="60"/>
  </cols>
  <sheetData>
    <row r="1" spans="1:37">
      <c r="A1" s="508" t="s">
        <v>978</v>
      </c>
    </row>
    <row r="2" spans="1:37" ht="15">
      <c r="A2" s="495" t="s">
        <v>979</v>
      </c>
      <c r="B2" s="62"/>
      <c r="C2" s="62"/>
    </row>
    <row r="3" spans="1:37" ht="15">
      <c r="A3" s="199" t="s">
        <v>121</v>
      </c>
    </row>
    <row r="4" spans="1:37" ht="15">
      <c r="A4" s="495" t="s">
        <v>980</v>
      </c>
      <c r="B4" s="62"/>
      <c r="C4" s="62"/>
      <c r="E4" s="201"/>
      <c r="F4" s="201"/>
      <c r="G4" s="201"/>
      <c r="H4" s="201"/>
      <c r="I4" s="201"/>
      <c r="J4" s="201"/>
      <c r="K4" s="201"/>
      <c r="L4" s="201"/>
      <c r="M4" s="201"/>
      <c r="N4" s="201"/>
      <c r="O4" s="201"/>
      <c r="P4" s="201"/>
      <c r="Q4" s="201"/>
      <c r="R4" s="201"/>
      <c r="S4" s="201"/>
      <c r="T4" s="201"/>
      <c r="U4" s="201"/>
      <c r="V4" s="201"/>
      <c r="W4" s="201"/>
      <c r="X4" s="201"/>
      <c r="Y4" s="201"/>
    </row>
    <row r="5" spans="1:37" ht="15">
      <c r="A5" s="495"/>
      <c r="B5" s="62"/>
      <c r="C5" s="62"/>
      <c r="E5" s="201"/>
      <c r="F5" s="201"/>
      <c r="G5" s="201"/>
      <c r="H5" s="201"/>
      <c r="I5" s="201"/>
      <c r="J5" s="201"/>
      <c r="K5" s="201"/>
      <c r="L5" s="201"/>
      <c r="M5" s="201"/>
      <c r="N5" s="201"/>
      <c r="O5" s="201"/>
      <c r="P5" s="201"/>
      <c r="Q5" s="201"/>
      <c r="R5" s="201"/>
      <c r="S5" s="201"/>
      <c r="T5" s="201"/>
      <c r="U5" s="201"/>
      <c r="V5" s="201"/>
      <c r="W5" s="201"/>
      <c r="X5" s="201"/>
      <c r="Y5" s="201"/>
    </row>
    <row r="6" spans="1:37" ht="15">
      <c r="A6" s="85" t="s">
        <v>982</v>
      </c>
      <c r="B6" s="62"/>
      <c r="C6" s="62"/>
      <c r="E6" s="201"/>
      <c r="F6" s="201"/>
      <c r="G6" s="201"/>
      <c r="H6" s="201"/>
      <c r="I6" s="201"/>
      <c r="J6" s="201"/>
      <c r="K6" s="201"/>
      <c r="L6" s="201"/>
      <c r="M6" s="201"/>
      <c r="N6" s="201"/>
      <c r="O6" s="201"/>
      <c r="P6" s="201"/>
      <c r="Q6" s="201"/>
      <c r="R6" s="201"/>
      <c r="S6" s="201"/>
      <c r="T6" s="201"/>
      <c r="U6" s="201"/>
      <c r="V6" s="201"/>
      <c r="W6" s="201"/>
      <c r="X6" s="201"/>
      <c r="Y6" s="201"/>
    </row>
    <row r="7" spans="1:37" ht="15">
      <c r="A7" s="495"/>
      <c r="B7" s="62"/>
      <c r="C7" s="62"/>
      <c r="E7" s="201"/>
      <c r="F7" s="201"/>
      <c r="G7" s="201"/>
      <c r="H7" s="201"/>
      <c r="I7" s="201"/>
      <c r="J7" s="201"/>
      <c r="K7" s="201"/>
      <c r="L7" s="201"/>
      <c r="M7" s="201"/>
      <c r="N7" s="201"/>
      <c r="O7" s="201"/>
      <c r="P7" s="201"/>
      <c r="Q7" s="201"/>
      <c r="R7" s="201"/>
      <c r="S7" s="201"/>
      <c r="T7" s="201"/>
      <c r="U7" s="201"/>
      <c r="V7" s="201"/>
      <c r="W7" s="201"/>
      <c r="X7" s="201"/>
      <c r="Y7" s="201"/>
    </row>
    <row r="8" spans="1:37" ht="15">
      <c r="A8" s="199"/>
    </row>
    <row r="9" spans="1:37" s="200" customFormat="1" ht="12">
      <c r="A9" s="202">
        <v>1</v>
      </c>
      <c r="B9" s="203"/>
      <c r="C9" s="203"/>
      <c r="D9" s="1907" t="s">
        <v>1014</v>
      </c>
      <c r="E9" s="1908"/>
      <c r="F9" s="1908"/>
      <c r="G9" s="1908"/>
      <c r="H9" s="1908"/>
      <c r="I9" s="1908"/>
      <c r="J9" s="1908"/>
      <c r="K9" s="1908"/>
      <c r="L9" s="1908"/>
      <c r="M9" s="1908"/>
      <c r="N9" s="1908"/>
      <c r="O9" s="1908"/>
      <c r="P9" s="1908"/>
      <c r="Q9" s="1908"/>
      <c r="R9" s="1908"/>
      <c r="S9" s="1908"/>
      <c r="T9" s="1908"/>
      <c r="U9" s="1908"/>
      <c r="V9" s="1908"/>
      <c r="W9" s="1908"/>
      <c r="X9" s="1909"/>
      <c r="Y9" s="1907" t="s">
        <v>981</v>
      </c>
      <c r="Z9" s="1908"/>
      <c r="AA9" s="1908"/>
      <c r="AB9" s="1908"/>
      <c r="AC9" s="1908"/>
      <c r="AD9" s="1908"/>
      <c r="AE9" s="1908"/>
      <c r="AF9" s="1908"/>
      <c r="AG9" s="1908"/>
      <c r="AH9" s="1908"/>
      <c r="AI9" s="1908"/>
      <c r="AJ9" s="1908"/>
      <c r="AK9" s="1908"/>
    </row>
    <row r="10" spans="1:37" s="200" customFormat="1" ht="12">
      <c r="A10" s="204"/>
      <c r="B10" s="204"/>
      <c r="C10" s="204"/>
      <c r="D10" s="82" t="s">
        <v>289</v>
      </c>
      <c r="E10" s="82" t="s">
        <v>290</v>
      </c>
      <c r="F10" s="82" t="s">
        <v>291</v>
      </c>
      <c r="G10" s="82" t="s">
        <v>292</v>
      </c>
      <c r="H10" s="82" t="s">
        <v>293</v>
      </c>
      <c r="I10" s="82" t="s">
        <v>294</v>
      </c>
      <c r="J10" s="82" t="s">
        <v>295</v>
      </c>
      <c r="K10" s="82" t="s">
        <v>296</v>
      </c>
      <c r="L10" s="82" t="s">
        <v>297</v>
      </c>
      <c r="M10" s="82" t="s">
        <v>298</v>
      </c>
      <c r="N10" s="82" t="s">
        <v>299</v>
      </c>
      <c r="O10" s="82" t="s">
        <v>300</v>
      </c>
      <c r="P10" s="82" t="s">
        <v>301</v>
      </c>
      <c r="Q10" s="82" t="s">
        <v>302</v>
      </c>
      <c r="R10" s="82" t="s">
        <v>303</v>
      </c>
      <c r="S10" s="82" t="s">
        <v>304</v>
      </c>
      <c r="T10" s="82" t="s">
        <v>305</v>
      </c>
      <c r="U10" s="82" t="s">
        <v>306</v>
      </c>
      <c r="V10" s="82" t="s">
        <v>307</v>
      </c>
      <c r="W10" s="82" t="s">
        <v>308</v>
      </c>
      <c r="X10" s="82" t="s">
        <v>309</v>
      </c>
      <c r="Y10" s="72" t="s">
        <v>957</v>
      </c>
      <c r="Z10" s="72" t="s">
        <v>958</v>
      </c>
      <c r="AA10" s="82">
        <v>2023</v>
      </c>
      <c r="AB10" s="82">
        <v>2024</v>
      </c>
      <c r="AC10" s="82">
        <v>2025</v>
      </c>
      <c r="AD10" s="82">
        <v>2026</v>
      </c>
      <c r="AE10" s="82">
        <v>2027</v>
      </c>
      <c r="AF10" s="82">
        <v>2028</v>
      </c>
      <c r="AG10" s="82">
        <v>2029</v>
      </c>
      <c r="AH10" s="82">
        <v>2030</v>
      </c>
      <c r="AI10" s="82">
        <v>2031</v>
      </c>
      <c r="AJ10" s="82">
        <v>2032</v>
      </c>
      <c r="AK10" s="82">
        <v>2033</v>
      </c>
    </row>
    <row r="11" spans="1:37" s="200" customFormat="1" ht="12">
      <c r="A11" s="82" t="s">
        <v>549</v>
      </c>
      <c r="B11" s="82" t="s">
        <v>552</v>
      </c>
      <c r="C11" s="82" t="s">
        <v>981</v>
      </c>
      <c r="D11" s="73"/>
      <c r="E11" s="73"/>
      <c r="F11" s="73"/>
      <c r="G11" s="73"/>
      <c r="H11" s="73"/>
      <c r="I11" s="73"/>
      <c r="J11" s="73"/>
      <c r="K11" s="73"/>
      <c r="L11" s="168">
        <v>26879000000</v>
      </c>
      <c r="M11" s="168">
        <v>26887000000</v>
      </c>
      <c r="N11" s="168">
        <v>26935000000</v>
      </c>
      <c r="O11" s="168">
        <v>27155000000</v>
      </c>
      <c r="P11" s="168">
        <v>27251000000</v>
      </c>
      <c r="Q11" s="168">
        <v>27531000000</v>
      </c>
      <c r="R11" s="168">
        <v>27836000000</v>
      </c>
      <c r="S11" s="168">
        <v>28125000000</v>
      </c>
      <c r="T11" s="168">
        <v>28460000000</v>
      </c>
      <c r="U11" s="168">
        <v>28616000000</v>
      </c>
      <c r="V11" s="108">
        <f>U11+U11*$Z$13</f>
        <v>28816038404.761032</v>
      </c>
      <c r="W11" s="108">
        <f>V11+V11*$Z$13</f>
        <v>29017475165.804539</v>
      </c>
      <c r="X11" s="108">
        <f>W11+W11*$Z$13</f>
        <v>29220320058.254929</v>
      </c>
      <c r="Y11" s="73"/>
      <c r="Z11" s="73"/>
      <c r="AA11" s="108">
        <f>X11+X11*AA13</f>
        <v>29424582925.569023</v>
      </c>
      <c r="AB11" s="108">
        <f t="shared" ref="AB11:AK11" si="0">AA11+AA11*AB13</f>
        <v>29630273680.013721</v>
      </c>
      <c r="AC11" s="108">
        <f t="shared" si="0"/>
        <v>29837402303.14703</v>
      </c>
      <c r="AD11" s="108">
        <f t="shared" si="0"/>
        <v>30045978846.302422</v>
      </c>
      <c r="AE11" s="108">
        <f t="shared" si="0"/>
        <v>30256013431.076607</v>
      </c>
      <c r="AF11" s="108">
        <f t="shared" si="0"/>
        <v>30467516249.820698</v>
      </c>
      <c r="AG11" s="108">
        <f t="shared" si="0"/>
        <v>30680497566.134819</v>
      </c>
      <c r="AH11" s="108">
        <f t="shared" si="0"/>
        <v>30894967715.366169</v>
      </c>
      <c r="AI11" s="108">
        <f t="shared" si="0"/>
        <v>31110937105.110558</v>
      </c>
      <c r="AJ11" s="108">
        <f t="shared" si="0"/>
        <v>31328416215.717461</v>
      </c>
      <c r="AK11" s="108">
        <f t="shared" si="0"/>
        <v>31547415600.798595</v>
      </c>
    </row>
    <row r="12" spans="1:37" s="200" customFormat="1" ht="12">
      <c r="A12" s="82" t="s">
        <v>549</v>
      </c>
      <c r="B12" s="82" t="s">
        <v>552</v>
      </c>
      <c r="C12" s="82" t="s">
        <v>1012</v>
      </c>
      <c r="D12" s="76"/>
      <c r="E12" s="76">
        <f t="shared" ref="E12:K12" si="1">E11-D11</f>
        <v>0</v>
      </c>
      <c r="F12" s="76">
        <f t="shared" si="1"/>
        <v>0</v>
      </c>
      <c r="G12" s="76">
        <f t="shared" si="1"/>
        <v>0</v>
      </c>
      <c r="H12" s="76">
        <f t="shared" si="1"/>
        <v>0</v>
      </c>
      <c r="I12" s="76">
        <f t="shared" si="1"/>
        <v>0</v>
      </c>
      <c r="J12" s="76">
        <f t="shared" si="1"/>
        <v>0</v>
      </c>
      <c r="K12" s="76">
        <f t="shared" si="1"/>
        <v>0</v>
      </c>
      <c r="L12" s="73">
        <v>0</v>
      </c>
      <c r="M12" s="73">
        <f t="shared" ref="M12:U12" si="2">M11-L11</f>
        <v>8000000</v>
      </c>
      <c r="N12" s="73">
        <f t="shared" si="2"/>
        <v>48000000</v>
      </c>
      <c r="O12" s="73">
        <f t="shared" si="2"/>
        <v>220000000</v>
      </c>
      <c r="P12" s="73">
        <f t="shared" si="2"/>
        <v>96000000</v>
      </c>
      <c r="Q12" s="73">
        <f t="shared" si="2"/>
        <v>280000000</v>
      </c>
      <c r="R12" s="73">
        <f t="shared" si="2"/>
        <v>305000000</v>
      </c>
      <c r="S12" s="73">
        <f t="shared" si="2"/>
        <v>289000000</v>
      </c>
      <c r="T12" s="73">
        <f t="shared" si="2"/>
        <v>335000000</v>
      </c>
      <c r="U12" s="73">
        <f t="shared" si="2"/>
        <v>156000000</v>
      </c>
      <c r="V12" s="73"/>
      <c r="W12" s="73">
        <f>W11-V11</f>
        <v>201436761.04350662</v>
      </c>
      <c r="X12" s="73">
        <f>X11-W11</f>
        <v>202844892.45038986</v>
      </c>
      <c r="Y12" s="73">
        <f>AVERAGE(E12:X12)</f>
        <v>112699034.3944156</v>
      </c>
      <c r="Z12" s="73">
        <f>AVERAGE(E12:U12)</f>
        <v>102176470.58823529</v>
      </c>
      <c r="AA12" s="208">
        <f t="shared" ref="AA12:AK12" si="3">AA11-Z11</f>
        <v>29424582925.569023</v>
      </c>
      <c r="AB12" s="208">
        <f t="shared" si="3"/>
        <v>205690754.44469833</v>
      </c>
      <c r="AC12" s="208">
        <f t="shared" si="3"/>
        <v>207128623.13330841</v>
      </c>
      <c r="AD12" s="208">
        <f t="shared" si="3"/>
        <v>208576543.15539169</v>
      </c>
      <c r="AE12" s="208">
        <f t="shared" si="3"/>
        <v>210034584.77418518</v>
      </c>
      <c r="AF12" s="208">
        <f t="shared" si="3"/>
        <v>211502818.74409103</v>
      </c>
      <c r="AG12" s="208">
        <f t="shared" si="3"/>
        <v>212981316.31412125</v>
      </c>
      <c r="AH12" s="208">
        <f t="shared" si="3"/>
        <v>214470149.23134995</v>
      </c>
      <c r="AI12" s="208">
        <f t="shared" si="3"/>
        <v>215969389.74438858</v>
      </c>
      <c r="AJ12" s="208">
        <f t="shared" si="3"/>
        <v>217479110.60690308</v>
      </c>
      <c r="AK12" s="208">
        <f t="shared" si="3"/>
        <v>218999385.0811348</v>
      </c>
    </row>
    <row r="13" spans="1:37" s="200" customFormat="1" ht="12">
      <c r="A13" s="82" t="s">
        <v>549</v>
      </c>
      <c r="B13" s="82" t="s">
        <v>119</v>
      </c>
      <c r="C13" s="82" t="s">
        <v>1013</v>
      </c>
      <c r="D13" s="76" t="s">
        <v>555</v>
      </c>
      <c r="E13" s="77" t="e">
        <f t="shared" ref="E13:X13" si="4">E12/D11</f>
        <v>#DIV/0!</v>
      </c>
      <c r="F13" s="77" t="e">
        <f t="shared" si="4"/>
        <v>#DIV/0!</v>
      </c>
      <c r="G13" s="77" t="e">
        <f t="shared" si="4"/>
        <v>#DIV/0!</v>
      </c>
      <c r="H13" s="77" t="e">
        <f t="shared" si="4"/>
        <v>#DIV/0!</v>
      </c>
      <c r="I13" s="77" t="e">
        <f t="shared" si="4"/>
        <v>#DIV/0!</v>
      </c>
      <c r="J13" s="77" t="e">
        <f t="shared" si="4"/>
        <v>#DIV/0!</v>
      </c>
      <c r="K13" s="77" t="e">
        <f t="shared" si="4"/>
        <v>#DIV/0!</v>
      </c>
      <c r="L13" s="77" t="e">
        <f t="shared" si="4"/>
        <v>#DIV/0!</v>
      </c>
      <c r="M13" s="77">
        <f t="shared" si="4"/>
        <v>2.9763012016816102E-4</v>
      </c>
      <c r="N13" s="77">
        <f t="shared" si="4"/>
        <v>1.7852493770223528E-3</v>
      </c>
      <c r="O13" s="77">
        <f t="shared" si="4"/>
        <v>8.167811397809541E-3</v>
      </c>
      <c r="P13" s="77">
        <f t="shared" si="4"/>
        <v>3.5352605413367703E-3</v>
      </c>
      <c r="Q13" s="77">
        <f t="shared" si="4"/>
        <v>1.0274852298998202E-2</v>
      </c>
      <c r="R13" s="77">
        <f t="shared" si="4"/>
        <v>1.1078420689404671E-2</v>
      </c>
      <c r="S13" s="77">
        <f t="shared" si="4"/>
        <v>1.0382238827417732E-2</v>
      </c>
      <c r="T13" s="77">
        <f t="shared" si="4"/>
        <v>1.1911111111111112E-2</v>
      </c>
      <c r="U13" s="77">
        <f t="shared" si="4"/>
        <v>5.4813773717498245E-3</v>
      </c>
      <c r="V13" s="77">
        <f t="shared" si="4"/>
        <v>0</v>
      </c>
      <c r="W13" s="77">
        <f t="shared" si="4"/>
        <v>6.9904390816686625E-3</v>
      </c>
      <c r="X13" s="77">
        <f t="shared" si="4"/>
        <v>6.9904390816686616E-3</v>
      </c>
      <c r="Y13" s="98" t="e">
        <f>AVERAGE(E13:X13)</f>
        <v>#DIV/0!</v>
      </c>
      <c r="Z13" s="98">
        <f>AVERAGE(M13:U13)</f>
        <v>6.9904390816687067E-3</v>
      </c>
      <c r="AA13" s="207">
        <f t="shared" ref="AA13:AK13" si="5">Z13</f>
        <v>6.9904390816687067E-3</v>
      </c>
      <c r="AB13" s="207">
        <f t="shared" si="5"/>
        <v>6.9904390816687067E-3</v>
      </c>
      <c r="AC13" s="207">
        <f t="shared" si="5"/>
        <v>6.9904390816687067E-3</v>
      </c>
      <c r="AD13" s="207">
        <f t="shared" si="5"/>
        <v>6.9904390816687067E-3</v>
      </c>
      <c r="AE13" s="207">
        <f t="shared" si="5"/>
        <v>6.9904390816687067E-3</v>
      </c>
      <c r="AF13" s="207">
        <f t="shared" si="5"/>
        <v>6.9904390816687067E-3</v>
      </c>
      <c r="AG13" s="207">
        <f t="shared" si="5"/>
        <v>6.9904390816687067E-3</v>
      </c>
      <c r="AH13" s="207">
        <f t="shared" si="5"/>
        <v>6.9904390816687067E-3</v>
      </c>
      <c r="AI13" s="207">
        <f t="shared" si="5"/>
        <v>6.9904390816687067E-3</v>
      </c>
      <c r="AJ13" s="207">
        <f t="shared" si="5"/>
        <v>6.9904390816687067E-3</v>
      </c>
      <c r="AK13" s="207">
        <f t="shared" si="5"/>
        <v>6.9904390816687067E-3</v>
      </c>
    </row>
    <row r="14" spans="1:37" s="200" customFormat="1" ht="12">
      <c r="A14" s="82"/>
      <c r="B14" s="82"/>
      <c r="C14" s="82"/>
      <c r="D14" s="76"/>
      <c r="E14" s="77"/>
      <c r="F14" s="77"/>
      <c r="G14" s="77"/>
      <c r="H14" s="77"/>
      <c r="I14" s="77"/>
      <c r="J14" s="77"/>
      <c r="K14" s="77"/>
      <c r="L14" s="77"/>
      <c r="M14" s="77"/>
      <c r="N14" s="77"/>
      <c r="O14" s="77"/>
      <c r="P14" s="77"/>
      <c r="Q14" s="77"/>
      <c r="R14" s="77"/>
      <c r="S14" s="77"/>
      <c r="T14" s="77"/>
      <c r="U14" s="77"/>
      <c r="V14" s="77"/>
      <c r="W14" s="77"/>
      <c r="X14" s="77"/>
      <c r="Y14" s="98"/>
      <c r="Z14" s="98"/>
      <c r="AA14" s="207"/>
      <c r="AB14" s="207"/>
      <c r="AC14" s="207"/>
      <c r="AD14" s="207"/>
      <c r="AE14" s="207"/>
      <c r="AF14" s="207"/>
      <c r="AG14" s="207"/>
      <c r="AH14" s="207"/>
      <c r="AI14" s="207"/>
      <c r="AJ14" s="207"/>
      <c r="AK14" s="207"/>
    </row>
    <row r="15" spans="1:37" s="200" customFormat="1" ht="12">
      <c r="A15" s="82"/>
      <c r="B15" s="82"/>
      <c r="C15" s="82"/>
      <c r="D15" s="76"/>
      <c r="E15" s="77"/>
      <c r="F15" s="77"/>
      <c r="G15" s="77"/>
      <c r="H15" s="77"/>
      <c r="I15" s="77"/>
      <c r="J15" s="77"/>
      <c r="K15" s="77"/>
      <c r="L15" s="77"/>
      <c r="M15" s="77"/>
      <c r="N15" s="77"/>
      <c r="O15" s="77"/>
      <c r="P15" s="77"/>
      <c r="Q15" s="77"/>
      <c r="R15" s="77"/>
      <c r="S15" s="77"/>
      <c r="T15" s="77"/>
      <c r="U15" s="77"/>
      <c r="V15" s="77"/>
      <c r="W15" s="77"/>
      <c r="X15" s="77"/>
      <c r="Y15" s="98"/>
      <c r="Z15" s="98"/>
      <c r="AA15" s="207"/>
      <c r="AB15" s="207"/>
      <c r="AC15" s="207"/>
      <c r="AD15" s="207"/>
      <c r="AE15" s="207"/>
      <c r="AF15" s="207"/>
      <c r="AG15" s="207"/>
      <c r="AH15" s="207"/>
      <c r="AI15" s="207"/>
      <c r="AJ15" s="207"/>
      <c r="AK15" s="207"/>
    </row>
    <row r="18" spans="1:38">
      <c r="A18" s="85" t="s">
        <v>1015</v>
      </c>
    </row>
    <row r="19" spans="1:38" ht="15">
      <c r="A19" s="495" t="s">
        <v>744</v>
      </c>
      <c r="B19" s="517" t="s">
        <v>124</v>
      </c>
    </row>
    <row r="21" spans="1:38">
      <c r="A21" s="106" t="s">
        <v>722</v>
      </c>
      <c r="B21" s="71"/>
      <c r="C21" s="71"/>
      <c r="D21" s="1907" t="s">
        <v>737</v>
      </c>
      <c r="E21" s="1908"/>
      <c r="F21" s="1908"/>
      <c r="G21" s="1908"/>
      <c r="H21" s="1908"/>
      <c r="I21" s="1908"/>
      <c r="J21" s="1908"/>
      <c r="K21" s="1908"/>
      <c r="L21" s="1908"/>
      <c r="M21" s="1908"/>
      <c r="N21" s="1908"/>
      <c r="O21" s="1908"/>
      <c r="P21" s="1908"/>
      <c r="Q21" s="1908"/>
      <c r="R21" s="1908"/>
      <c r="S21" s="1908"/>
      <c r="T21" s="1908"/>
      <c r="U21" s="1908"/>
      <c r="V21" s="1908"/>
      <c r="W21" s="1908"/>
      <c r="X21" s="1909"/>
      <c r="Y21" s="86"/>
      <c r="Z21" s="86"/>
      <c r="AA21" s="96"/>
      <c r="AB21" s="96"/>
      <c r="AC21" s="96"/>
      <c r="AD21" s="96"/>
      <c r="AE21" s="96"/>
      <c r="AF21" s="96"/>
      <c r="AG21" s="96"/>
      <c r="AH21" s="96"/>
      <c r="AI21" s="96"/>
      <c r="AJ21" s="96"/>
      <c r="AK21" s="96"/>
      <c r="AL21" s="96"/>
    </row>
    <row r="22" spans="1:38">
      <c r="A22" s="71" t="s">
        <v>725</v>
      </c>
      <c r="B22" s="71" t="s">
        <v>688</v>
      </c>
      <c r="C22" s="71"/>
      <c r="D22" s="72" t="s">
        <v>289</v>
      </c>
      <c r="E22" s="72" t="s">
        <v>290</v>
      </c>
      <c r="F22" s="72" t="s">
        <v>291</v>
      </c>
      <c r="G22" s="72" t="s">
        <v>292</v>
      </c>
      <c r="H22" s="72" t="s">
        <v>293</v>
      </c>
      <c r="I22" s="72" t="s">
        <v>294</v>
      </c>
      <c r="J22" s="72" t="s">
        <v>295</v>
      </c>
      <c r="K22" s="72" t="s">
        <v>296</v>
      </c>
      <c r="L22" s="72" t="s">
        <v>297</v>
      </c>
      <c r="M22" s="72" t="s">
        <v>298</v>
      </c>
      <c r="N22" s="72" t="s">
        <v>299</v>
      </c>
      <c r="O22" s="72" t="s">
        <v>300</v>
      </c>
      <c r="P22" s="72" t="s">
        <v>301</v>
      </c>
      <c r="Q22" s="72" t="s">
        <v>302</v>
      </c>
      <c r="R22" s="72" t="s">
        <v>303</v>
      </c>
      <c r="S22" s="72" t="s">
        <v>304</v>
      </c>
      <c r="T22" s="72" t="s">
        <v>305</v>
      </c>
      <c r="U22" s="72" t="s">
        <v>306</v>
      </c>
      <c r="V22" s="72" t="s">
        <v>307</v>
      </c>
      <c r="W22" s="72" t="s">
        <v>308</v>
      </c>
      <c r="X22" s="72" t="s">
        <v>309</v>
      </c>
      <c r="Y22" s="72" t="s">
        <v>723</v>
      </c>
      <c r="Z22" s="72" t="s">
        <v>724</v>
      </c>
      <c r="AA22" s="72" t="s">
        <v>340</v>
      </c>
      <c r="AB22" s="72" t="s">
        <v>341</v>
      </c>
      <c r="AC22" s="72" t="s">
        <v>342</v>
      </c>
      <c r="AD22" s="72" t="s">
        <v>343</v>
      </c>
      <c r="AE22" s="72" t="s">
        <v>344</v>
      </c>
      <c r="AF22" s="72" t="s">
        <v>345</v>
      </c>
      <c r="AG22" s="72" t="s">
        <v>346</v>
      </c>
      <c r="AH22" s="72" t="s">
        <v>347</v>
      </c>
      <c r="AI22" s="72" t="s">
        <v>348</v>
      </c>
      <c r="AJ22" s="72" t="s">
        <v>349</v>
      </c>
      <c r="AK22" s="72" t="s">
        <v>350</v>
      </c>
      <c r="AL22" s="72" t="s">
        <v>353</v>
      </c>
    </row>
    <row r="23" spans="1:38">
      <c r="A23" s="71" t="s">
        <v>738</v>
      </c>
      <c r="B23" s="71" t="s">
        <v>119</v>
      </c>
      <c r="C23" s="71"/>
      <c r="D23" s="79"/>
      <c r="E23" s="79"/>
      <c r="F23" s="79"/>
      <c r="G23" s="79"/>
      <c r="H23" s="79"/>
      <c r="I23" s="79"/>
      <c r="J23" s="79"/>
      <c r="K23" s="79"/>
      <c r="L23" s="79"/>
      <c r="M23" s="79"/>
      <c r="N23" s="79"/>
      <c r="O23" s="79"/>
      <c r="P23" s="79"/>
      <c r="Q23" s="79"/>
      <c r="R23" s="79"/>
      <c r="S23" s="273"/>
      <c r="T23" s="273"/>
      <c r="U23" s="273"/>
      <c r="V23" s="273"/>
      <c r="W23" s="273"/>
      <c r="X23" s="277">
        <v>2.2624919412470952E-3</v>
      </c>
      <c r="Y23" s="73">
        <f>AVERAGE(H23:X23)</f>
        <v>2.2624919412470952E-3</v>
      </c>
      <c r="Z23" s="73" t="e">
        <f>AVERAGE(H23:U23)</f>
        <v>#DIV/0!</v>
      </c>
      <c r="AA23" s="277">
        <v>3.1743099976780332E-3</v>
      </c>
      <c r="AB23" s="277">
        <v>4.9926911429434657E-3</v>
      </c>
      <c r="AC23" s="277">
        <v>9.5652097849247709E-3</v>
      </c>
      <c r="AD23" s="277">
        <v>1.5546115440554448E-2</v>
      </c>
      <c r="AE23" s="277">
        <v>2.2879260939635774E-2</v>
      </c>
      <c r="AF23" s="277">
        <v>3.1509955519376742E-2</v>
      </c>
      <c r="AG23" s="277">
        <v>4.1384933452214341E-2</v>
      </c>
      <c r="AH23" s="277">
        <v>5.2452323282211499E-2</v>
      </c>
      <c r="AI23" s="277">
        <v>6.4950161033735465E-2</v>
      </c>
      <c r="AJ23" s="277">
        <v>7.9103379935756127E-2</v>
      </c>
      <c r="AK23" s="277">
        <v>9.5124233893091117E-2</v>
      </c>
      <c r="AL23" s="79"/>
    </row>
    <row r="24" spans="1:38">
      <c r="A24" s="71" t="s">
        <v>739</v>
      </c>
      <c r="B24" s="71" t="s">
        <v>119</v>
      </c>
      <c r="C24" s="71"/>
      <c r="D24" s="79"/>
      <c r="E24" s="79"/>
      <c r="F24" s="79"/>
      <c r="G24" s="79"/>
      <c r="H24" s="79"/>
      <c r="I24" s="79"/>
      <c r="J24" s="79"/>
      <c r="K24" s="79"/>
      <c r="L24" s="79"/>
      <c r="M24" s="79"/>
      <c r="N24" s="79"/>
      <c r="O24" s="79"/>
      <c r="P24" s="79"/>
      <c r="Q24" s="79"/>
      <c r="R24" s="79"/>
      <c r="S24" s="79"/>
      <c r="T24" s="79"/>
      <c r="U24" s="79"/>
      <c r="V24" s="273"/>
      <c r="W24" s="273"/>
      <c r="X24" s="277">
        <f>1-X23</f>
        <v>0.99773750805875294</v>
      </c>
      <c r="Y24" s="73"/>
      <c r="Z24" s="73"/>
      <c r="AA24" s="277">
        <f>1-AA23</f>
        <v>0.99682569000232202</v>
      </c>
      <c r="AB24" s="277">
        <f>1-AB23</f>
        <v>0.99500730885705657</v>
      </c>
      <c r="AC24" s="277">
        <f t="shared" ref="AC24:AK24" si="6">1-AC23</f>
        <v>0.99043479021507519</v>
      </c>
      <c r="AD24" s="277">
        <f t="shared" si="6"/>
        <v>0.9844538845594456</v>
      </c>
      <c r="AE24" s="277">
        <f t="shared" si="6"/>
        <v>0.97712073906036423</v>
      </c>
      <c r="AF24" s="277">
        <f t="shared" si="6"/>
        <v>0.96849004448062326</v>
      </c>
      <c r="AG24" s="277">
        <f t="shared" si="6"/>
        <v>0.95861506654778561</v>
      </c>
      <c r="AH24" s="277">
        <f t="shared" si="6"/>
        <v>0.9475476767177885</v>
      </c>
      <c r="AI24" s="277">
        <f t="shared" si="6"/>
        <v>0.93504983896626448</v>
      </c>
      <c r="AJ24" s="277">
        <f t="shared" si="6"/>
        <v>0.92089662006424389</v>
      </c>
      <c r="AK24" s="277">
        <f t="shared" si="6"/>
        <v>0.9048757661069089</v>
      </c>
      <c r="AL24" s="79"/>
    </row>
    <row r="27" spans="1:38">
      <c r="L27" s="25" t="s">
        <v>1096</v>
      </c>
      <c r="M27" s="522"/>
      <c r="N27" s="243" t="s">
        <v>122</v>
      </c>
      <c r="O27" s="590">
        <v>98022</v>
      </c>
      <c r="P27" s="587"/>
      <c r="Q27" s="587" t="s">
        <v>1103</v>
      </c>
    </row>
    <row r="28" spans="1:38">
      <c r="L28" s="25" t="s">
        <v>1097</v>
      </c>
      <c r="M28" s="522"/>
      <c r="N28" s="522" t="s">
        <v>1099</v>
      </c>
      <c r="O28" s="588">
        <f>P38</f>
        <v>325</v>
      </c>
      <c r="Q28" s="587" t="s">
        <v>1103</v>
      </c>
    </row>
    <row r="29" spans="1:38">
      <c r="L29" s="25" t="s">
        <v>1125</v>
      </c>
      <c r="M29" s="522"/>
      <c r="N29" s="522" t="s">
        <v>119</v>
      </c>
      <c r="O29" s="522">
        <v>0.2</v>
      </c>
      <c r="Q29" s="587" t="s">
        <v>1103</v>
      </c>
    </row>
    <row r="30" spans="1:38">
      <c r="L30" s="25" t="s">
        <v>1102</v>
      </c>
      <c r="M30" s="25"/>
      <c r="N30" s="25" t="s">
        <v>1104</v>
      </c>
      <c r="O30" s="602">
        <f>P47</f>
        <v>29.564685314685313</v>
      </c>
      <c r="Q30" s="587" t="s">
        <v>1103</v>
      </c>
    </row>
    <row r="33" spans="1:24">
      <c r="L33" s="346" t="s">
        <v>1132</v>
      </c>
      <c r="S33" s="944" t="s">
        <v>1369</v>
      </c>
    </row>
    <row r="34" spans="1:24">
      <c r="L34" s="25" t="s">
        <v>1135</v>
      </c>
      <c r="M34" s="522" t="s">
        <v>1126</v>
      </c>
      <c r="N34" s="522" t="s">
        <v>1127</v>
      </c>
      <c r="O34" s="590" t="s">
        <v>1130</v>
      </c>
      <c r="P34" s="523" t="s">
        <v>1128</v>
      </c>
      <c r="Q34" s="587" t="s">
        <v>1103</v>
      </c>
      <c r="S34" s="25" t="s">
        <v>1135</v>
      </c>
      <c r="T34" s="522" t="s">
        <v>1126</v>
      </c>
      <c r="U34" s="522" t="s">
        <v>1127</v>
      </c>
      <c r="V34" s="590" t="s">
        <v>1130</v>
      </c>
      <c r="W34" s="523" t="s">
        <v>1128</v>
      </c>
      <c r="X34" s="587" t="s">
        <v>1103</v>
      </c>
    </row>
    <row r="35" spans="1:24">
      <c r="L35" s="25">
        <v>12</v>
      </c>
      <c r="M35" s="25">
        <v>50</v>
      </c>
      <c r="N35" s="25">
        <f>M35*2</f>
        <v>100</v>
      </c>
      <c r="O35" s="522">
        <f>L35/(L35+L36+L37)</f>
        <v>0.21428571428571427</v>
      </c>
      <c r="P35" s="588">
        <f>N35*O35</f>
        <v>21.428571428571427</v>
      </c>
      <c r="Q35" s="587" t="s">
        <v>1103</v>
      </c>
      <c r="S35" s="25">
        <v>7</v>
      </c>
      <c r="T35" s="25">
        <v>50</v>
      </c>
      <c r="U35" s="25">
        <f>T35*2</f>
        <v>100</v>
      </c>
      <c r="V35" s="522">
        <f>S35/(S35+S36+S37)</f>
        <v>0.22580645161290322</v>
      </c>
      <c r="W35" s="588">
        <f>U35*V35</f>
        <v>22.58064516129032</v>
      </c>
      <c r="X35" s="587" t="s">
        <v>1103</v>
      </c>
    </row>
    <row r="36" spans="1:24">
      <c r="L36" s="25">
        <v>25</v>
      </c>
      <c r="M36" s="25">
        <v>150</v>
      </c>
      <c r="N36" s="25">
        <f t="shared" ref="N36:N37" si="7">M36*2</f>
        <v>300</v>
      </c>
      <c r="O36" s="522">
        <f>L36/(L35+L36+L37)</f>
        <v>0.44642857142857145</v>
      </c>
      <c r="P36" s="588">
        <f t="shared" ref="P36:P37" si="8">N36*O36</f>
        <v>133.92857142857144</v>
      </c>
      <c r="Q36" s="587" t="s">
        <v>1103</v>
      </c>
      <c r="S36" s="25">
        <v>16</v>
      </c>
      <c r="T36" s="25">
        <v>150</v>
      </c>
      <c r="U36" s="25">
        <f>T36*2</f>
        <v>300</v>
      </c>
      <c r="V36" s="522">
        <f>S36/(S35+S36+S37)</f>
        <v>0.5161290322580645</v>
      </c>
      <c r="W36" s="588">
        <f>U36*V36</f>
        <v>154.83870967741936</v>
      </c>
      <c r="X36" s="587" t="s">
        <v>1103</v>
      </c>
    </row>
    <row r="37" spans="1:24">
      <c r="L37" s="25">
        <v>19</v>
      </c>
      <c r="M37" s="25">
        <v>250</v>
      </c>
      <c r="N37" s="25">
        <f t="shared" si="7"/>
        <v>500</v>
      </c>
      <c r="O37" s="522">
        <f>L37/(L35+L36+L37)</f>
        <v>0.3392857142857143</v>
      </c>
      <c r="P37" s="588">
        <f t="shared" si="8"/>
        <v>169.64285714285714</v>
      </c>
      <c r="Q37" s="587" t="s">
        <v>1103</v>
      </c>
      <c r="S37" s="25">
        <v>8</v>
      </c>
      <c r="T37" s="25">
        <v>250</v>
      </c>
      <c r="U37" s="25">
        <f>T37*2</f>
        <v>500</v>
      </c>
      <c r="V37" s="522">
        <f>S37/(S35+S36+S37)</f>
        <v>0.25806451612903225</v>
      </c>
      <c r="W37" s="588">
        <f>U37*V37</f>
        <v>129.03225806451613</v>
      </c>
      <c r="X37" s="587" t="s">
        <v>1103</v>
      </c>
    </row>
    <row r="38" spans="1:24">
      <c r="P38" s="601">
        <f>(P35+P36+P37)</f>
        <v>325</v>
      </c>
      <c r="W38" s="945">
        <f>(W35+W36+W37)</f>
        <v>306.45161290322585</v>
      </c>
    </row>
    <row r="41" spans="1:24">
      <c r="L41" s="346" t="s">
        <v>1131</v>
      </c>
    </row>
    <row r="42" spans="1:24">
      <c r="L42" s="25" t="s">
        <v>1134</v>
      </c>
      <c r="M42" s="522" t="s">
        <v>1133</v>
      </c>
      <c r="N42" s="522"/>
      <c r="O42" s="590" t="s">
        <v>1130</v>
      </c>
      <c r="P42" s="523" t="s">
        <v>1136</v>
      </c>
      <c r="Q42" s="587" t="s">
        <v>1103</v>
      </c>
    </row>
    <row r="43" spans="1:24">
      <c r="A43" s="60">
        <v>569</v>
      </c>
      <c r="B43" s="60">
        <v>77</v>
      </c>
      <c r="C43" s="733">
        <f>B43/A43</f>
        <v>0.13532513181019332</v>
      </c>
      <c r="L43" s="522">
        <f>C43</f>
        <v>0.13532513181019332</v>
      </c>
      <c r="M43" s="25">
        <v>3</v>
      </c>
      <c r="N43" s="25"/>
      <c r="O43" s="522">
        <f>L43/(L43+L44+L45+L46)</f>
        <v>0.13461538461538461</v>
      </c>
      <c r="P43" s="588">
        <f>M43*O43</f>
        <v>0.40384615384615385</v>
      </c>
      <c r="Q43" s="587" t="s">
        <v>1103</v>
      </c>
    </row>
    <row r="44" spans="1:24">
      <c r="B44" s="60">
        <v>230</v>
      </c>
      <c r="C44" s="733">
        <f>B44/A43</f>
        <v>0.40421792618629176</v>
      </c>
      <c r="L44" s="522">
        <f>C44</f>
        <v>0.40421792618629176</v>
      </c>
      <c r="M44" s="25">
        <v>15</v>
      </c>
      <c r="N44" s="25"/>
      <c r="O44" s="522">
        <f>L44/(L43+L44+L45+L46)</f>
        <v>0.40209790209790208</v>
      </c>
      <c r="P44" s="588">
        <f t="shared" ref="P44:P46" si="9">M44*O44</f>
        <v>6.0314685314685317</v>
      </c>
      <c r="Q44" s="587" t="s">
        <v>1103</v>
      </c>
    </row>
    <row r="45" spans="1:24">
      <c r="B45" s="60">
        <v>152</v>
      </c>
      <c r="C45" s="733">
        <f>B45/A43</f>
        <v>0.26713532513181021</v>
      </c>
      <c r="L45" s="522">
        <f>C45</f>
        <v>0.26713532513181021</v>
      </c>
      <c r="M45" s="25">
        <v>35</v>
      </c>
      <c r="N45" s="25"/>
      <c r="O45" s="522">
        <f>L45/(L43+L44+L45+L46)</f>
        <v>0.26573426573426573</v>
      </c>
      <c r="P45" s="588">
        <f t="shared" si="9"/>
        <v>9.3006993006993</v>
      </c>
      <c r="Q45" s="587"/>
    </row>
    <row r="46" spans="1:24">
      <c r="B46" s="60">
        <v>113</v>
      </c>
      <c r="C46" s="733">
        <f>B46/A43</f>
        <v>0.19859402460456943</v>
      </c>
      <c r="L46" s="522">
        <f>C46</f>
        <v>0.19859402460456943</v>
      </c>
      <c r="M46" s="25">
        <v>70</v>
      </c>
      <c r="N46" s="25"/>
      <c r="O46" s="522">
        <f>L46/(L43+L44+L45+L46)</f>
        <v>0.19755244755244755</v>
      </c>
      <c r="P46" s="588">
        <f t="shared" si="9"/>
        <v>13.828671328671328</v>
      </c>
      <c r="Q46" s="587" t="s">
        <v>1103</v>
      </c>
    </row>
    <row r="47" spans="1:24">
      <c r="P47" s="601">
        <f>(P43+P44+P45+P46)</f>
        <v>29.564685314685313</v>
      </c>
    </row>
  </sheetData>
  <mergeCells count="3">
    <mergeCell ref="D21:X21"/>
    <mergeCell ref="D9:X9"/>
    <mergeCell ref="Y9:AK9"/>
  </mergeCells>
  <hyperlinks>
    <hyperlink ref="A3" r:id="rId1"/>
    <hyperlink ref="B19" r:id="rId2"/>
  </hyperlinks>
  <pageMargins left="0.75" right="0.75" top="1" bottom="1" header="0.5" footer="0.5"/>
  <pageSetup orientation="portrait" r:id="rId3"/>
  <drawing r:id="rId4"/>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22"/>
  <sheetViews>
    <sheetView showGridLines="0" topLeftCell="A5" zoomScale="65" workbookViewId="0">
      <selection activeCell="J16" sqref="J16"/>
    </sheetView>
  </sheetViews>
  <sheetFormatPr defaultColWidth="8.85546875" defaultRowHeight="12"/>
  <cols>
    <col min="1" max="1" width="8.85546875" style="22"/>
    <col min="2" max="2" width="15.85546875" style="22" customWidth="1"/>
    <col min="3" max="3" width="31.140625" style="22" customWidth="1"/>
    <col min="4" max="9" width="13.85546875" style="22" customWidth="1"/>
    <col min="10" max="10" width="18.5703125" style="22" customWidth="1"/>
    <col min="11" max="11" width="48.140625" style="22" customWidth="1"/>
    <col min="12" max="12" width="79.28515625" style="22" customWidth="1"/>
    <col min="13" max="16384" width="8.85546875" style="22"/>
  </cols>
  <sheetData>
    <row r="3" spans="2:12">
      <c r="B3" s="25" t="s">
        <v>150</v>
      </c>
      <c r="C3" s="25"/>
      <c r="D3" s="25"/>
      <c r="E3" s="25"/>
      <c r="F3" s="25"/>
      <c r="G3" s="25"/>
      <c r="H3" s="25"/>
      <c r="I3" s="25"/>
      <c r="J3" s="25"/>
      <c r="K3" s="25"/>
      <c r="L3" s="25"/>
    </row>
    <row r="4" spans="2:12">
      <c r="B4" s="25" t="s">
        <v>152</v>
      </c>
      <c r="C4" s="25" t="s">
        <v>151</v>
      </c>
      <c r="D4" s="25" t="s">
        <v>157</v>
      </c>
      <c r="E4" s="25" t="s">
        <v>158</v>
      </c>
      <c r="F4" s="25" t="s">
        <v>142</v>
      </c>
      <c r="G4" s="25" t="s">
        <v>162</v>
      </c>
      <c r="H4" s="25" t="s">
        <v>163</v>
      </c>
      <c r="I4" s="25" t="s">
        <v>130</v>
      </c>
      <c r="J4" s="25" t="s">
        <v>149</v>
      </c>
      <c r="K4" s="25" t="s">
        <v>155</v>
      </c>
      <c r="L4" s="25" t="s">
        <v>132</v>
      </c>
    </row>
    <row r="5" spans="2:12" ht="144.75">
      <c r="B5" s="25" t="s">
        <v>160</v>
      </c>
      <c r="C5" s="32" t="s">
        <v>165</v>
      </c>
      <c r="D5" s="25">
        <v>1983</v>
      </c>
      <c r="E5" s="25">
        <v>1995</v>
      </c>
      <c r="F5" s="31">
        <f>E5-D5</f>
        <v>12</v>
      </c>
      <c r="G5" s="33">
        <v>27700000</v>
      </c>
      <c r="H5" s="33">
        <v>65900000</v>
      </c>
      <c r="I5" s="26">
        <f>(H5-G5)/G5</f>
        <v>1.3790613718411553</v>
      </c>
      <c r="J5" s="34">
        <f t="shared" ref="J5:J6" si="0">(H5/G5)^(1/F5)-100%</f>
        <v>7.4897708705526256E-2</v>
      </c>
      <c r="K5" s="32" t="s">
        <v>156</v>
      </c>
      <c r="L5" s="11" t="s">
        <v>154</v>
      </c>
    </row>
    <row r="6" spans="2:12" ht="144.75">
      <c r="B6" s="25" t="s">
        <v>161</v>
      </c>
      <c r="C6" s="32" t="s">
        <v>166</v>
      </c>
      <c r="D6" s="25">
        <v>2002</v>
      </c>
      <c r="E6" s="25">
        <v>2005</v>
      </c>
      <c r="F6" s="31">
        <f t="shared" ref="F6:F11" si="1">E6-D6</f>
        <v>3</v>
      </c>
      <c r="G6" s="33">
        <v>12800000</v>
      </c>
      <c r="H6" s="33">
        <v>13200000</v>
      </c>
      <c r="I6" s="26">
        <f t="shared" ref="I6" si="2">(H6-G6)/G6</f>
        <v>3.125E-2</v>
      </c>
      <c r="J6" s="34">
        <f t="shared" si="0"/>
        <v>1.0310005155547586E-2</v>
      </c>
      <c r="K6" s="32" t="s">
        <v>167</v>
      </c>
      <c r="L6" s="11" t="s">
        <v>125</v>
      </c>
    </row>
    <row r="7" spans="2:12" ht="84.75">
      <c r="B7" s="25" t="s">
        <v>164</v>
      </c>
      <c r="C7" s="32" t="s">
        <v>168</v>
      </c>
      <c r="D7" s="25"/>
      <c r="E7" s="25"/>
      <c r="F7" s="31">
        <f t="shared" si="1"/>
        <v>0</v>
      </c>
      <c r="G7" s="33"/>
      <c r="H7" s="33"/>
      <c r="I7" s="26"/>
      <c r="J7" s="34">
        <v>0.12</v>
      </c>
      <c r="K7" s="32" t="s">
        <v>169</v>
      </c>
      <c r="L7" s="11" t="s">
        <v>125</v>
      </c>
    </row>
    <row r="8" spans="2:12" ht="96.75">
      <c r="B8" s="25" t="s">
        <v>170</v>
      </c>
      <c r="C8" s="32" t="s">
        <v>171</v>
      </c>
      <c r="D8" s="25">
        <v>1998</v>
      </c>
      <c r="E8" s="25">
        <v>2008</v>
      </c>
      <c r="F8" s="31">
        <f t="shared" si="1"/>
        <v>10</v>
      </c>
      <c r="G8" s="33"/>
      <c r="H8" s="33"/>
      <c r="I8" s="26"/>
      <c r="J8" s="34">
        <v>0.11</v>
      </c>
      <c r="K8" s="32" t="s">
        <v>172</v>
      </c>
      <c r="L8" s="11" t="s">
        <v>125</v>
      </c>
    </row>
    <row r="9" spans="2:12" ht="84.75">
      <c r="B9" s="25" t="s">
        <v>177</v>
      </c>
      <c r="C9" s="32" t="s">
        <v>180</v>
      </c>
      <c r="D9" s="25"/>
      <c r="E9" s="25"/>
      <c r="F9" s="31">
        <v>18</v>
      </c>
      <c r="G9" s="33"/>
      <c r="H9" s="33"/>
      <c r="I9" s="26"/>
      <c r="J9" s="34">
        <f>(H21/G21)^(1/F9)-100%</f>
        <v>1.5969444678314293E-2</v>
      </c>
      <c r="K9" s="32" t="s">
        <v>181</v>
      </c>
      <c r="L9" s="11" t="s">
        <v>178</v>
      </c>
    </row>
    <row r="10" spans="2:12" ht="84.75">
      <c r="B10" s="25" t="s">
        <v>179</v>
      </c>
      <c r="C10" s="32" t="s">
        <v>180</v>
      </c>
      <c r="D10" s="25"/>
      <c r="E10" s="25"/>
      <c r="F10" s="31">
        <v>2</v>
      </c>
      <c r="G10" s="33"/>
      <c r="H10" s="33"/>
      <c r="I10" s="26"/>
      <c r="J10" s="34">
        <f>(H22/G22)^(1/F10)-100%</f>
        <v>1.9803902718557032E-2</v>
      </c>
      <c r="K10" s="32" t="s">
        <v>181</v>
      </c>
      <c r="L10" s="11" t="s">
        <v>178</v>
      </c>
    </row>
    <row r="11" spans="2:12" ht="48.75">
      <c r="B11" s="25" t="s">
        <v>174</v>
      </c>
      <c r="C11" s="32"/>
      <c r="D11" s="25"/>
      <c r="E11" s="25"/>
      <c r="F11" s="31">
        <f t="shared" si="1"/>
        <v>0</v>
      </c>
      <c r="G11" s="33"/>
      <c r="H11" s="33"/>
      <c r="I11" s="35" t="s">
        <v>176</v>
      </c>
      <c r="J11" s="34"/>
      <c r="K11" s="32" t="s">
        <v>175</v>
      </c>
      <c r="L11" s="11" t="s">
        <v>173</v>
      </c>
    </row>
    <row r="12" spans="2:12" ht="15">
      <c r="B12" s="25"/>
      <c r="C12" s="32"/>
      <c r="D12" s="25"/>
      <c r="E12" s="25"/>
      <c r="F12" s="31"/>
      <c r="G12" s="33"/>
      <c r="H12" s="33"/>
      <c r="I12" s="35"/>
      <c r="J12" s="34"/>
      <c r="K12" s="32"/>
      <c r="L12" s="11"/>
    </row>
    <row r="13" spans="2:12" ht="15">
      <c r="B13" s="25"/>
      <c r="C13" s="32"/>
      <c r="D13" s="25"/>
      <c r="E13" s="25"/>
      <c r="F13" s="31"/>
      <c r="G13" s="33"/>
      <c r="H13" s="33"/>
      <c r="I13" s="35"/>
      <c r="J13" s="34"/>
      <c r="K13" s="32"/>
      <c r="L13" s="11"/>
    </row>
    <row r="14" spans="2:12">
      <c r="B14" s="25"/>
      <c r="C14" s="32"/>
      <c r="D14" s="25"/>
      <c r="E14" s="25"/>
      <c r="F14" s="31"/>
      <c r="G14" s="33"/>
      <c r="H14" s="33"/>
      <c r="I14" s="25"/>
      <c r="J14" s="45"/>
      <c r="K14" s="32"/>
      <c r="L14" s="25"/>
    </row>
    <row r="15" spans="2:12">
      <c r="B15" s="30" t="s">
        <v>153</v>
      </c>
      <c r="C15" s="37"/>
      <c r="D15" s="30"/>
      <c r="E15" s="30"/>
      <c r="F15" s="30"/>
      <c r="G15" s="30"/>
      <c r="H15" s="30"/>
      <c r="I15" s="30"/>
      <c r="J15" s="38">
        <f>AVERAGE(J5:J14)</f>
        <v>5.849684354299086E-2</v>
      </c>
      <c r="K15" s="37"/>
      <c r="L15" s="30"/>
    </row>
    <row r="16" spans="2:12">
      <c r="B16" s="28" t="s">
        <v>182</v>
      </c>
      <c r="C16" s="36"/>
      <c r="D16" s="28"/>
      <c r="E16" s="28"/>
      <c r="F16" s="28"/>
      <c r="G16" s="28"/>
      <c r="H16" s="28"/>
      <c r="I16" s="28"/>
      <c r="J16" s="29">
        <v>0.01</v>
      </c>
      <c r="K16" s="28" t="s">
        <v>159</v>
      </c>
      <c r="L16" s="25"/>
    </row>
    <row r="21" spans="7:8">
      <c r="G21" s="22">
        <v>100</v>
      </c>
      <c r="H21" s="22">
        <v>133</v>
      </c>
    </row>
    <row r="22" spans="7:8">
      <c r="G22" s="22">
        <v>100</v>
      </c>
      <c r="H22" s="22">
        <v>104</v>
      </c>
    </row>
  </sheetData>
  <hyperlinks>
    <hyperlink ref="L5" r:id="rId1"/>
    <hyperlink ref="L6" r:id="rId2"/>
    <hyperlink ref="L7" r:id="rId3"/>
    <hyperlink ref="L8" r:id="rId4"/>
    <hyperlink ref="L11" r:id="rId5"/>
    <hyperlink ref="L9" r:id="rId6"/>
    <hyperlink ref="L10" r:id="rId7"/>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showGridLines="0" topLeftCell="F1" workbookViewId="0">
      <selection activeCell="L5" sqref="L5"/>
    </sheetView>
  </sheetViews>
  <sheetFormatPr defaultColWidth="8.85546875" defaultRowHeight="12"/>
  <cols>
    <col min="1" max="1" width="8.85546875" style="22"/>
    <col min="2" max="2" width="15.85546875" style="22" customWidth="1"/>
    <col min="3" max="3" width="31.140625" style="22" customWidth="1"/>
    <col min="4" max="9" width="13.85546875" style="22" customWidth="1"/>
    <col min="10" max="10" width="18.5703125" style="22" customWidth="1"/>
    <col min="11" max="11" width="48.140625" style="22" customWidth="1"/>
    <col min="12" max="12" width="79.28515625" style="22" customWidth="1"/>
    <col min="13" max="16384" width="8.85546875" style="22"/>
  </cols>
  <sheetData>
    <row r="1" spans="1:12" ht="15">
      <c r="A1" s="199" t="s">
        <v>125</v>
      </c>
    </row>
    <row r="3" spans="1:12">
      <c r="B3" s="25" t="s">
        <v>183</v>
      </c>
      <c r="C3" s="25"/>
      <c r="D3" s="25"/>
      <c r="E3" s="25"/>
      <c r="F3" s="25"/>
      <c r="G3" s="25"/>
      <c r="H3" s="25"/>
      <c r="I3" s="25"/>
      <c r="J3" s="25"/>
      <c r="K3" s="25"/>
      <c r="L3" s="25"/>
    </row>
    <row r="4" spans="1:12">
      <c r="B4" s="25" t="s">
        <v>152</v>
      </c>
      <c r="C4" s="25" t="s">
        <v>151</v>
      </c>
      <c r="D4" s="25" t="s">
        <v>157</v>
      </c>
      <c r="E4" s="25" t="s">
        <v>158</v>
      </c>
      <c r="F4" s="25" t="s">
        <v>142</v>
      </c>
      <c r="G4" s="25" t="s">
        <v>193</v>
      </c>
      <c r="H4" s="25" t="s">
        <v>194</v>
      </c>
      <c r="I4" s="25" t="s">
        <v>184</v>
      </c>
      <c r="J4" s="25" t="s">
        <v>192</v>
      </c>
      <c r="K4" s="25" t="s">
        <v>155</v>
      </c>
      <c r="L4" s="25" t="s">
        <v>132</v>
      </c>
    </row>
    <row r="5" spans="1:12" ht="72.75">
      <c r="B5" s="25" t="s">
        <v>185</v>
      </c>
      <c r="C5" s="32" t="s">
        <v>187</v>
      </c>
      <c r="D5" s="25"/>
      <c r="E5" s="25">
        <v>2004</v>
      </c>
      <c r="F5" s="31"/>
      <c r="G5" s="44" t="s">
        <v>188</v>
      </c>
      <c r="H5" s="39">
        <v>2</v>
      </c>
      <c r="I5" s="26" t="s">
        <v>191</v>
      </c>
      <c r="J5" s="43" t="s">
        <v>190</v>
      </c>
      <c r="K5" s="32" t="s">
        <v>202</v>
      </c>
      <c r="L5" s="11" t="s">
        <v>125</v>
      </c>
    </row>
    <row r="6" spans="1:12" ht="84.75">
      <c r="B6" s="25" t="s">
        <v>186</v>
      </c>
      <c r="C6" s="32" t="s">
        <v>484</v>
      </c>
      <c r="D6" s="25"/>
      <c r="E6" s="25">
        <v>1996</v>
      </c>
      <c r="F6" s="31"/>
      <c r="G6" s="33"/>
      <c r="H6" s="33"/>
      <c r="I6" s="26"/>
      <c r="J6" s="40"/>
      <c r="K6" s="32" t="s">
        <v>189</v>
      </c>
      <c r="L6" s="11" t="s">
        <v>125</v>
      </c>
    </row>
    <row r="7" spans="1:12" ht="15">
      <c r="B7" s="25"/>
      <c r="C7" s="32"/>
      <c r="D7" s="25"/>
      <c r="E7" s="25"/>
      <c r="F7" s="31"/>
      <c r="G7" s="33"/>
      <c r="H7" s="33"/>
      <c r="I7" s="26"/>
      <c r="J7" s="40"/>
      <c r="K7" s="32"/>
      <c r="L7" s="11"/>
    </row>
    <row r="8" spans="1:12" ht="15">
      <c r="B8" s="25"/>
      <c r="C8" s="32"/>
      <c r="D8" s="25"/>
      <c r="E8" s="25"/>
      <c r="F8" s="31"/>
      <c r="G8" s="33"/>
      <c r="H8" s="33"/>
      <c r="I8" s="26"/>
      <c r="J8" s="40"/>
      <c r="K8" s="32"/>
      <c r="L8" s="11"/>
    </row>
    <row r="9" spans="1:12">
      <c r="B9" s="25"/>
      <c r="C9" s="32"/>
      <c r="D9" s="25"/>
      <c r="E9" s="25"/>
      <c r="F9" s="31"/>
      <c r="G9" s="33"/>
      <c r="H9" s="33"/>
      <c r="I9" s="25"/>
      <c r="J9" s="40"/>
      <c r="K9" s="32"/>
      <c r="L9" s="25"/>
    </row>
    <row r="10" spans="1:12">
      <c r="B10" s="30"/>
      <c r="C10" s="37"/>
      <c r="D10" s="30"/>
      <c r="E10" s="30"/>
      <c r="F10" s="30"/>
      <c r="G10" s="30"/>
      <c r="H10" s="30"/>
      <c r="I10" s="30"/>
      <c r="J10" s="41"/>
      <c r="K10" s="37"/>
      <c r="L10" s="30"/>
    </row>
    <row r="11" spans="1:12">
      <c r="B11" s="28" t="s">
        <v>182</v>
      </c>
      <c r="C11" s="36"/>
      <c r="D11" s="28"/>
      <c r="E11" s="28"/>
      <c r="F11" s="28"/>
      <c r="G11" s="28"/>
      <c r="H11" s="28"/>
      <c r="I11" s="28"/>
      <c r="J11" s="42">
        <v>3</v>
      </c>
      <c r="K11" s="28" t="s">
        <v>159</v>
      </c>
      <c r="L11" s="25"/>
    </row>
    <row r="19" spans="7:10">
      <c r="G19" s="22">
        <v>5</v>
      </c>
      <c r="H19" s="22">
        <v>8</v>
      </c>
      <c r="I19" s="24">
        <f>(G20-G19)/G20</f>
        <v>-1.5</v>
      </c>
      <c r="J19" s="24">
        <f>(H20-H19)/H20</f>
        <v>-3</v>
      </c>
    </row>
    <row r="20" spans="7:10">
      <c r="G20" s="22">
        <v>2</v>
      </c>
      <c r="H20" s="22">
        <v>2</v>
      </c>
      <c r="I20" s="24"/>
    </row>
  </sheetData>
  <hyperlinks>
    <hyperlink ref="L6" r:id="rId1"/>
    <hyperlink ref="L5" r:id="rId2"/>
    <hyperlink ref="A1" r:id="rId3"/>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22"/>
  <sheetViews>
    <sheetView showGridLines="0" workbookViewId="0">
      <selection activeCell="L31" sqref="L31"/>
    </sheetView>
  </sheetViews>
  <sheetFormatPr defaultColWidth="8.85546875" defaultRowHeight="12"/>
  <cols>
    <col min="1" max="1" width="8.85546875" style="22"/>
    <col min="2" max="2" width="13.85546875" style="22" customWidth="1"/>
    <col min="3" max="3" width="20.28515625" style="22" bestFit="1" customWidth="1"/>
    <col min="4" max="9" width="13.85546875" style="22" customWidth="1"/>
    <col min="10" max="11" width="18.5703125" style="22" customWidth="1"/>
    <col min="12" max="12" width="79.28515625" style="22" customWidth="1"/>
    <col min="13" max="16384" width="8.85546875" style="22"/>
  </cols>
  <sheetData>
    <row r="3" spans="2:12">
      <c r="B3" s="25" t="s">
        <v>126</v>
      </c>
      <c r="C3" s="25"/>
      <c r="D3" s="25"/>
      <c r="E3" s="25"/>
      <c r="F3" s="25"/>
      <c r="G3" s="25"/>
      <c r="H3" s="25"/>
      <c r="I3" s="25"/>
      <c r="J3" s="25"/>
      <c r="K3" s="25"/>
      <c r="L3" s="25"/>
    </row>
    <row r="4" spans="2:12">
      <c r="B4" s="25" t="s">
        <v>127</v>
      </c>
      <c r="C4" s="25" t="s">
        <v>128</v>
      </c>
      <c r="D4" s="25" t="s">
        <v>129</v>
      </c>
      <c r="E4" s="25" t="s">
        <v>275</v>
      </c>
      <c r="F4" s="25" t="s">
        <v>142</v>
      </c>
      <c r="G4" s="25" t="s">
        <v>133</v>
      </c>
      <c r="H4" s="25" t="s">
        <v>134</v>
      </c>
      <c r="I4" s="25" t="s">
        <v>130</v>
      </c>
      <c r="J4" s="25" t="s">
        <v>149</v>
      </c>
      <c r="K4" s="25" t="s">
        <v>131</v>
      </c>
      <c r="L4" s="25" t="s">
        <v>132</v>
      </c>
    </row>
    <row r="5" spans="2:12">
      <c r="B5" s="25" t="s">
        <v>2</v>
      </c>
      <c r="C5" s="25" t="s">
        <v>135</v>
      </c>
      <c r="D5" s="25">
        <v>2023</v>
      </c>
      <c r="E5" s="25">
        <v>2021</v>
      </c>
      <c r="F5" s="25">
        <f>D5-E5</f>
        <v>2</v>
      </c>
      <c r="G5" s="25">
        <v>0.9</v>
      </c>
      <c r="H5" s="25">
        <v>1.1000000000000001</v>
      </c>
      <c r="I5" s="26">
        <f>(H5-G5)/G5</f>
        <v>0.22222222222222229</v>
      </c>
      <c r="J5" s="34">
        <f>(H5/G5)^(1/F5)-100%</f>
        <v>0.10554159678513342</v>
      </c>
      <c r="K5" s="25" t="s">
        <v>483</v>
      </c>
      <c r="L5" s="27" t="s">
        <v>137</v>
      </c>
    </row>
    <row r="6" spans="2:12">
      <c r="B6" s="25" t="s">
        <v>2</v>
      </c>
      <c r="C6" s="25" t="s">
        <v>136</v>
      </c>
      <c r="D6" s="25">
        <v>2023</v>
      </c>
      <c r="E6" s="25">
        <v>2021</v>
      </c>
      <c r="F6" s="25">
        <f t="shared" ref="F6:F11" si="0">D6-E6</f>
        <v>2</v>
      </c>
      <c r="G6" s="25">
        <v>199</v>
      </c>
      <c r="H6" s="25">
        <v>239</v>
      </c>
      <c r="I6" s="26">
        <f>(H6-G6)/G6</f>
        <v>0.20100502512562815</v>
      </c>
      <c r="J6" s="34">
        <f>(H6/G6)^(1/F6)-100%</f>
        <v>9.5903748111862308E-2</v>
      </c>
      <c r="K6" s="25" t="s">
        <v>483</v>
      </c>
      <c r="L6" s="27" t="s">
        <v>137</v>
      </c>
    </row>
    <row r="7" spans="2:12">
      <c r="B7" s="25" t="s">
        <v>141</v>
      </c>
      <c r="C7" s="25" t="s">
        <v>139</v>
      </c>
      <c r="D7" s="25">
        <v>2023</v>
      </c>
      <c r="E7" s="25">
        <v>2011</v>
      </c>
      <c r="F7" s="25">
        <f t="shared" si="0"/>
        <v>12</v>
      </c>
      <c r="G7" s="167" t="s">
        <v>143</v>
      </c>
      <c r="H7" s="167" t="s">
        <v>143</v>
      </c>
      <c r="I7" s="26">
        <v>0.33</v>
      </c>
      <c r="J7" s="34">
        <f>(H20/G20)^(1/F7)-100%</f>
        <v>2.4049547679819261E-2</v>
      </c>
      <c r="K7" s="25" t="s">
        <v>483</v>
      </c>
      <c r="L7" s="27" t="s">
        <v>138</v>
      </c>
    </row>
    <row r="8" spans="2:12">
      <c r="B8" s="25" t="s">
        <v>141</v>
      </c>
      <c r="C8" s="25" t="s">
        <v>140</v>
      </c>
      <c r="D8" s="25">
        <v>2023</v>
      </c>
      <c r="E8" s="25">
        <v>2011</v>
      </c>
      <c r="F8" s="25">
        <f t="shared" si="0"/>
        <v>12</v>
      </c>
      <c r="G8" s="167" t="s">
        <v>143</v>
      </c>
      <c r="H8" s="167" t="s">
        <v>143</v>
      </c>
      <c r="I8" s="26">
        <v>0.25</v>
      </c>
      <c r="J8" s="34">
        <f>(H21/G21)^(1/F8)-100%</f>
        <v>1.8769265121506118E-2</v>
      </c>
      <c r="K8" s="25" t="s">
        <v>483</v>
      </c>
      <c r="L8" s="27" t="s">
        <v>138</v>
      </c>
    </row>
    <row r="9" spans="2:12">
      <c r="B9" s="25" t="s">
        <v>30</v>
      </c>
      <c r="C9" s="25" t="s">
        <v>146</v>
      </c>
      <c r="D9" s="25">
        <v>2023</v>
      </c>
      <c r="E9" s="25">
        <v>2012</v>
      </c>
      <c r="F9" s="25">
        <f t="shared" si="0"/>
        <v>11</v>
      </c>
      <c r="G9" s="167" t="s">
        <v>143</v>
      </c>
      <c r="H9" s="167" t="s">
        <v>143</v>
      </c>
      <c r="I9" s="26">
        <v>0.25</v>
      </c>
      <c r="J9" s="34">
        <f>(H22/G22)^(1/F9)-100%</f>
        <v>2.0492932168465039E-2</v>
      </c>
      <c r="K9" s="25" t="s">
        <v>483</v>
      </c>
      <c r="L9" s="27" t="s">
        <v>145</v>
      </c>
    </row>
    <row r="10" spans="2:12">
      <c r="B10" s="25" t="s">
        <v>273</v>
      </c>
      <c r="C10" s="25" t="s">
        <v>274</v>
      </c>
      <c r="D10" s="25">
        <v>2022</v>
      </c>
      <c r="E10" s="25">
        <v>2010</v>
      </c>
      <c r="F10" s="25">
        <f t="shared" si="0"/>
        <v>12</v>
      </c>
      <c r="G10" s="25">
        <v>19.920000000000002</v>
      </c>
      <c r="H10" s="25">
        <v>30</v>
      </c>
      <c r="I10" s="26">
        <f>(H10-G10)/G10</f>
        <v>0.50602409638554202</v>
      </c>
      <c r="J10" s="34">
        <f>(H10/G10)^(1/F10)-100%</f>
        <v>3.4711620950001354E-2</v>
      </c>
      <c r="K10" s="25" t="s">
        <v>483</v>
      </c>
      <c r="L10" s="27" t="s">
        <v>276</v>
      </c>
    </row>
    <row r="11" spans="2:12">
      <c r="B11" s="25" t="s">
        <v>277</v>
      </c>
      <c r="C11" s="25" t="s">
        <v>274</v>
      </c>
      <c r="D11" s="25">
        <v>2022</v>
      </c>
      <c r="E11" s="25">
        <v>2013</v>
      </c>
      <c r="F11" s="25">
        <f t="shared" si="0"/>
        <v>9</v>
      </c>
      <c r="G11" s="25">
        <v>20</v>
      </c>
      <c r="H11" s="25">
        <v>25</v>
      </c>
      <c r="I11" s="26">
        <f>(H11-G11)/G11</f>
        <v>0.25</v>
      </c>
      <c r="J11" s="34">
        <f>(H11/G11)^(1/F11)-100%</f>
        <v>2.5103648456901162E-2</v>
      </c>
      <c r="K11" s="25" t="s">
        <v>483</v>
      </c>
      <c r="L11" s="27" t="s">
        <v>276</v>
      </c>
    </row>
    <row r="12" spans="2:12">
      <c r="B12" s="25" t="s">
        <v>278</v>
      </c>
      <c r="C12" s="25" t="s">
        <v>274</v>
      </c>
      <c r="D12" s="25">
        <v>2022</v>
      </c>
      <c r="E12" s="25">
        <v>2010</v>
      </c>
      <c r="F12" s="25">
        <f t="shared" ref="F12" si="1">D12-E12</f>
        <v>12</v>
      </c>
      <c r="G12" s="25">
        <v>16.600000000000001</v>
      </c>
      <c r="H12" s="25">
        <v>22</v>
      </c>
      <c r="I12" s="26">
        <f>(H12-G12)/G12</f>
        <v>0.32530120481927699</v>
      </c>
      <c r="J12" s="34">
        <f>(H12/G12)^(1/F12)-100%</f>
        <v>2.374756721236948E-2</v>
      </c>
      <c r="K12" s="25" t="s">
        <v>483</v>
      </c>
      <c r="L12" s="27" t="s">
        <v>276</v>
      </c>
    </row>
    <row r="13" spans="2:12">
      <c r="B13" s="30" t="s">
        <v>153</v>
      </c>
      <c r="C13" s="30"/>
      <c r="D13" s="30"/>
      <c r="E13" s="30"/>
      <c r="F13" s="30"/>
      <c r="G13" s="30"/>
      <c r="H13" s="30"/>
      <c r="I13" s="30"/>
      <c r="J13" s="373">
        <f>AVERAGE(J5:J10)</f>
        <v>4.9911451802797914E-2</v>
      </c>
      <c r="K13" s="30"/>
      <c r="L13" s="30"/>
    </row>
    <row r="14" spans="2:12">
      <c r="B14" s="30" t="s">
        <v>871</v>
      </c>
      <c r="C14" s="30"/>
      <c r="D14" s="30"/>
      <c r="E14" s="30"/>
      <c r="F14" s="30"/>
      <c r="G14" s="30"/>
      <c r="H14" s="30"/>
      <c r="I14" s="30"/>
      <c r="J14" s="373">
        <f>AVERAGE(J7:J12)</f>
        <v>2.4479096931510402E-2</v>
      </c>
      <c r="K14" s="30"/>
      <c r="L14" s="30"/>
    </row>
    <row r="15" spans="2:12">
      <c r="B15" s="28" t="s">
        <v>870</v>
      </c>
      <c r="C15" s="28"/>
      <c r="D15" s="28"/>
      <c r="E15" s="28"/>
      <c r="F15" s="28"/>
      <c r="G15" s="28"/>
      <c r="H15" s="28"/>
      <c r="I15" s="28"/>
      <c r="J15" s="29">
        <v>0.02</v>
      </c>
      <c r="K15" s="29">
        <v>0.02</v>
      </c>
      <c r="L15" s="28" t="s">
        <v>159</v>
      </c>
    </row>
    <row r="16" spans="2:12">
      <c r="B16" s="25"/>
      <c r="C16" s="25"/>
      <c r="D16" s="25"/>
      <c r="E16" s="25"/>
      <c r="F16" s="25"/>
      <c r="G16" s="25"/>
      <c r="H16" s="25"/>
      <c r="I16" s="25"/>
      <c r="J16" s="25"/>
      <c r="K16" s="25"/>
      <c r="L16" s="25"/>
    </row>
    <row r="17" spans="2:12">
      <c r="B17" s="25" t="s">
        <v>144</v>
      </c>
      <c r="C17" s="25"/>
      <c r="D17" s="25"/>
      <c r="E17" s="25"/>
      <c r="F17" s="25"/>
      <c r="G17" s="25"/>
      <c r="H17" s="25"/>
      <c r="I17" s="25"/>
      <c r="J17" s="25"/>
      <c r="K17" s="25"/>
      <c r="L17" s="27" t="s">
        <v>138</v>
      </c>
    </row>
    <row r="20" spans="2:12" hidden="1">
      <c r="G20" s="22">
        <v>100</v>
      </c>
      <c r="H20" s="22">
        <v>133</v>
      </c>
    </row>
    <row r="21" spans="2:12" hidden="1">
      <c r="G21" s="22">
        <v>100</v>
      </c>
      <c r="H21" s="22">
        <v>125</v>
      </c>
    </row>
    <row r="22" spans="2:12" hidden="1">
      <c r="G22" s="22">
        <v>100</v>
      </c>
      <c r="H22" s="22">
        <v>125</v>
      </c>
    </row>
  </sheetData>
  <hyperlinks>
    <hyperlink ref="L5" r:id="rId1"/>
    <hyperlink ref="L7" r:id="rId2"/>
    <hyperlink ref="L6" r:id="rId3"/>
    <hyperlink ref="L8" r:id="rId4"/>
    <hyperlink ref="L17" r:id="rId5"/>
    <hyperlink ref="L9" r:id="rId6"/>
    <hyperlink ref="L10" r:id="rId7" location="!/view/en/vbd_urbanaudit/do3701rr/v_do3701rr_00_00_00_sk"/>
    <hyperlink ref="L11" r:id="rId8" location="!/view/en/vbd_urbanaudit/do3701rr/v_do3701rr_00_00_00_sk"/>
    <hyperlink ref="L12" r:id="rId9" location="!/view/en/vbd_urbanaudit/do3701rr/v_do3701rr_00_00_00_sk"/>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I36"/>
  <sheetViews>
    <sheetView showGridLines="0" topLeftCell="A20" workbookViewId="0"/>
  </sheetViews>
  <sheetFormatPr defaultRowHeight="15"/>
  <cols>
    <col min="3" max="3" width="33.140625" bestFit="1" customWidth="1"/>
    <col min="4" max="4" width="18.42578125" customWidth="1"/>
    <col min="5" max="6" width="16.28515625" customWidth="1"/>
    <col min="7" max="10" width="14" customWidth="1"/>
  </cols>
  <sheetData>
    <row r="4" spans="3:6">
      <c r="C4" s="239" t="s">
        <v>625</v>
      </c>
      <c r="D4" s="1929" t="s">
        <v>634</v>
      </c>
      <c r="E4" s="1929"/>
      <c r="F4" s="1929"/>
    </row>
    <row r="5" spans="3:6">
      <c r="C5" s="240">
        <v>2023</v>
      </c>
      <c r="D5" s="239" t="s">
        <v>635</v>
      </c>
      <c r="E5" s="239" t="s">
        <v>636</v>
      </c>
      <c r="F5" s="239" t="s">
        <v>637</v>
      </c>
    </row>
    <row r="6" spans="3:6">
      <c r="C6" s="10" t="s">
        <v>626</v>
      </c>
      <c r="D6" s="238">
        <v>0.32179999999999997</v>
      </c>
      <c r="E6" s="238">
        <v>0.67710000000000004</v>
      </c>
      <c r="F6" s="238">
        <v>1.1000000000000001E-3</v>
      </c>
    </row>
    <row r="7" spans="3:6">
      <c r="C7" s="10" t="s">
        <v>627</v>
      </c>
      <c r="D7" s="238">
        <v>0.23880000000000001</v>
      </c>
      <c r="E7" s="238">
        <v>0.75470000000000004</v>
      </c>
      <c r="F7" s="238">
        <v>6.4999999999999997E-3</v>
      </c>
    </row>
    <row r="8" spans="3:6">
      <c r="C8" s="10" t="s">
        <v>628</v>
      </c>
      <c r="D8" s="238">
        <v>0.29959999999999998</v>
      </c>
      <c r="E8" s="238">
        <v>0.69989999999999997</v>
      </c>
      <c r="F8" s="238">
        <v>5.9999999999999995E-4</v>
      </c>
    </row>
    <row r="9" spans="3:6">
      <c r="C9" s="10" t="s">
        <v>629</v>
      </c>
      <c r="D9" s="238">
        <v>0.41310000000000002</v>
      </c>
      <c r="E9" s="238">
        <v>0.58509999999999995</v>
      </c>
      <c r="F9" s="238">
        <v>1.8E-3</v>
      </c>
    </row>
    <row r="10" spans="3:6">
      <c r="C10" s="10" t="s">
        <v>630</v>
      </c>
      <c r="D10" s="238">
        <v>0.248</v>
      </c>
      <c r="E10" s="238">
        <v>0.74560000000000004</v>
      </c>
      <c r="F10" s="238">
        <v>6.4000000000000003E-3</v>
      </c>
    </row>
    <row r="11" spans="3:6">
      <c r="C11" s="10" t="s">
        <v>631</v>
      </c>
      <c r="D11" s="238">
        <v>0.24590000000000001</v>
      </c>
      <c r="E11" s="238">
        <v>0.74629999999999996</v>
      </c>
      <c r="F11" s="238">
        <v>7.7999999999999996E-3</v>
      </c>
    </row>
    <row r="12" spans="3:6">
      <c r="C12" s="10" t="s">
        <v>632</v>
      </c>
      <c r="D12" s="238">
        <v>0.46629999999999999</v>
      </c>
      <c r="E12" s="238">
        <v>0.52490000000000003</v>
      </c>
      <c r="F12" s="238">
        <v>8.8000000000000005E-3</v>
      </c>
    </row>
    <row r="13" spans="3:6">
      <c r="C13" s="10" t="s">
        <v>633</v>
      </c>
      <c r="D13" s="238">
        <v>0.65049999999999997</v>
      </c>
      <c r="E13" s="238">
        <v>0.32390000000000002</v>
      </c>
      <c r="F13" s="238">
        <v>2.5499999999999998E-2</v>
      </c>
    </row>
    <row r="14" spans="3:6">
      <c r="C14" s="13"/>
      <c r="D14" s="13"/>
      <c r="E14" s="13"/>
      <c r="F14" s="13"/>
    </row>
    <row r="15" spans="3:6">
      <c r="C15" s="10"/>
      <c r="D15" s="10"/>
      <c r="E15" s="10"/>
      <c r="F15" s="10"/>
    </row>
    <row r="16" spans="3:6">
      <c r="C16" t="s">
        <v>638</v>
      </c>
    </row>
    <row r="17" spans="3:9" ht="93" customHeight="1">
      <c r="C17" s="1928" t="s">
        <v>641</v>
      </c>
      <c r="D17" s="1928"/>
      <c r="E17" s="1928"/>
      <c r="F17" s="1928"/>
    </row>
    <row r="18" spans="3:9" ht="41.45" customHeight="1">
      <c r="C18" s="1928" t="s">
        <v>640</v>
      </c>
      <c r="D18" s="1928"/>
      <c r="E18" s="1928"/>
      <c r="F18" s="1928"/>
    </row>
    <row r="20" spans="3:9">
      <c r="C20" t="s">
        <v>639</v>
      </c>
    </row>
    <row r="22" spans="3:9">
      <c r="C22" s="239" t="s">
        <v>658</v>
      </c>
      <c r="D22" s="239"/>
      <c r="E22" s="239"/>
      <c r="F22" s="239"/>
    </row>
    <row r="23" spans="3:9">
      <c r="C23" s="241" t="s">
        <v>657</v>
      </c>
      <c r="D23" s="239" t="s">
        <v>643</v>
      </c>
      <c r="E23" s="239" t="s">
        <v>644</v>
      </c>
      <c r="F23" s="239" t="s">
        <v>645</v>
      </c>
    </row>
    <row r="24" spans="3:9">
      <c r="C24" s="10" t="s">
        <v>642</v>
      </c>
      <c r="D24" s="10" t="s">
        <v>646</v>
      </c>
      <c r="E24" s="10" t="s">
        <v>647</v>
      </c>
      <c r="F24" s="10" t="s">
        <v>648</v>
      </c>
    </row>
    <row r="25" spans="3:9">
      <c r="C25" s="10" t="s">
        <v>650</v>
      </c>
      <c r="D25" s="10" t="s">
        <v>651</v>
      </c>
      <c r="E25" s="10" t="s">
        <v>652</v>
      </c>
      <c r="F25" s="10" t="s">
        <v>653</v>
      </c>
    </row>
    <row r="26" spans="3:9">
      <c r="C26" s="10" t="s">
        <v>649</v>
      </c>
      <c r="D26" s="10" t="s">
        <v>654</v>
      </c>
      <c r="E26" s="10" t="s">
        <v>655</v>
      </c>
      <c r="F26" s="10" t="s">
        <v>656</v>
      </c>
    </row>
    <row r="27" spans="3:9">
      <c r="C27" s="10"/>
      <c r="D27" s="10"/>
      <c r="E27" s="10"/>
      <c r="F27" s="10"/>
    </row>
    <row r="28" spans="3:9">
      <c r="C28" s="1930" t="s">
        <v>660</v>
      </c>
      <c r="D28" s="1931"/>
      <c r="E28" s="1931"/>
      <c r="F28" s="1932"/>
    </row>
    <row r="31" spans="3:9">
      <c r="C31" s="239" t="s">
        <v>659</v>
      </c>
      <c r="D31" s="239"/>
      <c r="E31" s="239"/>
      <c r="F31" s="239"/>
      <c r="G31" s="239"/>
      <c r="H31" s="239"/>
      <c r="I31" s="239"/>
    </row>
    <row r="32" spans="3:9">
      <c r="C32" s="239"/>
      <c r="D32" s="239" t="s">
        <v>643</v>
      </c>
      <c r="E32" s="239" t="s">
        <v>661</v>
      </c>
      <c r="F32" s="239" t="s">
        <v>645</v>
      </c>
      <c r="G32" s="239" t="s">
        <v>662</v>
      </c>
      <c r="H32" s="239" t="s">
        <v>663</v>
      </c>
      <c r="I32" s="239" t="s">
        <v>664</v>
      </c>
    </row>
    <row r="33" spans="3:9">
      <c r="C33" s="10" t="s">
        <v>665</v>
      </c>
      <c r="D33" s="10" t="s">
        <v>667</v>
      </c>
      <c r="E33" s="10" t="s">
        <v>669</v>
      </c>
      <c r="F33" s="10" t="s">
        <v>673</v>
      </c>
      <c r="G33" s="10" t="s">
        <v>671</v>
      </c>
      <c r="H33" s="10" t="s">
        <v>675</v>
      </c>
      <c r="I33" s="10" t="s">
        <v>676</v>
      </c>
    </row>
    <row r="34" spans="3:9">
      <c r="C34" s="10" t="s">
        <v>666</v>
      </c>
      <c r="D34" s="10" t="s">
        <v>668</v>
      </c>
      <c r="E34" s="10" t="s">
        <v>670</v>
      </c>
      <c r="F34" s="10" t="s">
        <v>674</v>
      </c>
      <c r="G34" s="10" t="s">
        <v>672</v>
      </c>
      <c r="H34" s="10" t="s">
        <v>677</v>
      </c>
      <c r="I34" s="10" t="s">
        <v>678</v>
      </c>
    </row>
    <row r="35" spans="3:9">
      <c r="C35" s="10"/>
      <c r="D35" s="10"/>
      <c r="E35" s="10"/>
      <c r="F35" s="10"/>
      <c r="G35" s="10"/>
      <c r="H35" s="10"/>
      <c r="I35" s="10"/>
    </row>
    <row r="36" spans="3:9">
      <c r="C36" s="1930" t="s">
        <v>679</v>
      </c>
      <c r="D36" s="1931"/>
      <c r="E36" s="1931"/>
      <c r="F36" s="1931"/>
      <c r="G36" s="1931"/>
      <c r="H36" s="1931"/>
      <c r="I36" s="1932"/>
    </row>
  </sheetData>
  <mergeCells count="5">
    <mergeCell ref="C17:F17"/>
    <mergeCell ref="C18:F18"/>
    <mergeCell ref="D4:F4"/>
    <mergeCell ref="C28:F28"/>
    <mergeCell ref="C36:I3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H63"/>
  <sheetViews>
    <sheetView zoomScaleNormal="100" workbookViewId="0">
      <pane xSplit="2" ySplit="1" topLeftCell="C2" activePane="bottomRight" state="frozen"/>
      <selection pane="topRight" activeCell="C1" sqref="C1"/>
      <selection pane="bottomLeft" activeCell="A2" sqref="A2"/>
      <selection pane="bottomRight" activeCell="A21" sqref="A21:D22"/>
    </sheetView>
  </sheetViews>
  <sheetFormatPr defaultColWidth="9.140625" defaultRowHeight="12"/>
  <cols>
    <col min="1" max="1" width="23.7109375" style="22" customWidth="1"/>
    <col min="2" max="2" width="21.7109375" style="22" customWidth="1"/>
    <col min="3" max="3" width="24.42578125" style="22" customWidth="1"/>
    <col min="4" max="4" width="33.85546875" style="22" bestFit="1" customWidth="1"/>
    <col min="5" max="5" width="40.140625" style="22" bestFit="1" customWidth="1"/>
    <col min="6" max="6" width="2.42578125" style="22" customWidth="1"/>
    <col min="7" max="7" width="10.7109375" style="22" bestFit="1" customWidth="1"/>
    <col min="8" max="16384" width="9.140625" style="22"/>
  </cols>
  <sheetData>
    <row r="1" spans="1:8" ht="14.25">
      <c r="A1" s="226"/>
      <c r="B1" s="227"/>
      <c r="C1" s="227" t="s">
        <v>601</v>
      </c>
      <c r="D1" s="227" t="s">
        <v>602</v>
      </c>
      <c r="E1" s="228" t="s">
        <v>603</v>
      </c>
    </row>
    <row r="2" spans="1:8">
      <c r="A2" s="221" t="s">
        <v>900</v>
      </c>
      <c r="B2" s="222"/>
      <c r="C2" s="223"/>
      <c r="D2" s="224"/>
      <c r="E2" s="225"/>
      <c r="G2" s="22" t="s">
        <v>680</v>
      </c>
      <c r="H2" s="22" t="s">
        <v>683</v>
      </c>
    </row>
    <row r="3" spans="1:8">
      <c r="A3" s="744" t="s">
        <v>900</v>
      </c>
      <c r="B3" s="154" t="s">
        <v>901</v>
      </c>
      <c r="C3" s="127" t="s">
        <v>615</v>
      </c>
      <c r="D3" s="127" t="s">
        <v>616</v>
      </c>
      <c r="E3" s="742" t="s">
        <v>616</v>
      </c>
      <c r="G3" s="22" t="s">
        <v>681</v>
      </c>
      <c r="H3" s="22" t="s">
        <v>1215</v>
      </c>
    </row>
    <row r="4" spans="1:8">
      <c r="A4" s="744" t="s">
        <v>900</v>
      </c>
      <c r="B4" s="154" t="s">
        <v>902</v>
      </c>
      <c r="C4" s="127" t="s">
        <v>616</v>
      </c>
      <c r="D4" s="128" t="s">
        <v>615</v>
      </c>
      <c r="E4" s="213" t="s">
        <v>615</v>
      </c>
      <c r="G4" s="22" t="s">
        <v>682</v>
      </c>
      <c r="H4" s="22" t="s">
        <v>1216</v>
      </c>
    </row>
    <row r="5" spans="1:8">
      <c r="A5" s="744" t="s">
        <v>1191</v>
      </c>
      <c r="B5" s="154" t="s">
        <v>1192</v>
      </c>
      <c r="C5" s="127" t="s">
        <v>616</v>
      </c>
      <c r="D5" s="128" t="s">
        <v>615</v>
      </c>
      <c r="E5" s="213" t="s">
        <v>615</v>
      </c>
    </row>
    <row r="6" spans="1:8">
      <c r="A6" s="744"/>
      <c r="B6" s="222"/>
      <c r="C6" s="223"/>
      <c r="D6" s="224"/>
      <c r="E6" s="225"/>
    </row>
    <row r="7" spans="1:8">
      <c r="A7" s="411" t="s">
        <v>610</v>
      </c>
      <c r="B7" s="412"/>
      <c r="C7" s="413"/>
      <c r="D7" s="414"/>
      <c r="E7" s="415"/>
    </row>
    <row r="8" spans="1:8">
      <c r="A8" s="745" t="s">
        <v>610</v>
      </c>
      <c r="B8" s="416" t="s">
        <v>581</v>
      </c>
      <c r="C8" s="417" t="s">
        <v>615</v>
      </c>
      <c r="D8" s="418" t="s">
        <v>615</v>
      </c>
      <c r="E8" s="419" t="s">
        <v>615</v>
      </c>
      <c r="G8" s="22" t="s">
        <v>1217</v>
      </c>
      <c r="H8" s="22" t="s">
        <v>1218</v>
      </c>
    </row>
    <row r="9" spans="1:8">
      <c r="A9" s="745" t="s">
        <v>610</v>
      </c>
      <c r="B9" s="416" t="s">
        <v>1193</v>
      </c>
      <c r="C9" s="417" t="s">
        <v>616</v>
      </c>
      <c r="D9" s="418" t="s">
        <v>615</v>
      </c>
      <c r="E9" s="419" t="s">
        <v>615</v>
      </c>
      <c r="G9" s="22" t="s">
        <v>579</v>
      </c>
      <c r="H9" s="22" t="s">
        <v>1219</v>
      </c>
    </row>
    <row r="10" spans="1:8">
      <c r="A10" s="745" t="s">
        <v>610</v>
      </c>
      <c r="B10" s="416" t="s">
        <v>580</v>
      </c>
      <c r="C10" s="417" t="s">
        <v>616</v>
      </c>
      <c r="D10" s="417" t="s">
        <v>616</v>
      </c>
      <c r="E10" s="419" t="s">
        <v>615</v>
      </c>
      <c r="G10" s="22" t="s">
        <v>580</v>
      </c>
      <c r="H10" s="22" t="s">
        <v>611</v>
      </c>
    </row>
    <row r="11" spans="1:8">
      <c r="A11" s="744"/>
      <c r="B11" s="222"/>
      <c r="C11" s="223"/>
      <c r="D11" s="224"/>
      <c r="E11" s="225"/>
    </row>
    <row r="12" spans="1:8">
      <c r="A12" s="232" t="s">
        <v>582</v>
      </c>
      <c r="B12" s="233"/>
      <c r="C12" s="234"/>
      <c r="D12" s="235"/>
      <c r="E12" s="236"/>
    </row>
    <row r="13" spans="1:8">
      <c r="A13" s="217" t="s">
        <v>583</v>
      </c>
      <c r="B13" s="154" t="s">
        <v>612</v>
      </c>
      <c r="C13" s="127" t="s">
        <v>615</v>
      </c>
      <c r="D13" s="128" t="s">
        <v>615</v>
      </c>
      <c r="E13" s="213" t="s">
        <v>615</v>
      </c>
    </row>
    <row r="14" spans="1:8">
      <c r="A14" s="217" t="s">
        <v>583</v>
      </c>
      <c r="B14" s="154" t="s">
        <v>584</v>
      </c>
      <c r="C14" s="127" t="s">
        <v>615</v>
      </c>
      <c r="D14" s="127" t="s">
        <v>616</v>
      </c>
      <c r="E14" s="213" t="s">
        <v>615</v>
      </c>
    </row>
    <row r="15" spans="1:8">
      <c r="A15" s="217" t="s">
        <v>583</v>
      </c>
      <c r="B15" s="154" t="s">
        <v>1194</v>
      </c>
      <c r="C15" s="127" t="s">
        <v>615</v>
      </c>
      <c r="D15" s="128" t="s">
        <v>615</v>
      </c>
      <c r="E15" s="213" t="s">
        <v>615</v>
      </c>
    </row>
    <row r="16" spans="1:8">
      <c r="A16" s="217" t="s">
        <v>583</v>
      </c>
      <c r="B16" s="154" t="s">
        <v>1195</v>
      </c>
      <c r="C16" s="127" t="s">
        <v>616</v>
      </c>
      <c r="D16" s="127" t="s">
        <v>616</v>
      </c>
      <c r="E16" s="213" t="s">
        <v>615</v>
      </c>
      <c r="G16" s="22" t="s">
        <v>578</v>
      </c>
      <c r="H16" s="22" t="s">
        <v>663</v>
      </c>
    </row>
    <row r="17" spans="1:5">
      <c r="A17" s="229"/>
      <c r="B17" s="230"/>
      <c r="C17" s="164"/>
      <c r="D17" s="147"/>
      <c r="E17" s="231"/>
    </row>
    <row r="18" spans="1:5">
      <c r="A18" s="232" t="s">
        <v>599</v>
      </c>
      <c r="B18" s="233"/>
      <c r="C18" s="234"/>
      <c r="D18" s="235"/>
      <c r="E18" s="236"/>
    </row>
    <row r="19" spans="1:5">
      <c r="A19" s="217" t="s">
        <v>585</v>
      </c>
      <c r="B19" s="154" t="s">
        <v>1202</v>
      </c>
      <c r="C19" s="127" t="s">
        <v>615</v>
      </c>
      <c r="D19" s="128" t="s">
        <v>1204</v>
      </c>
      <c r="E19" s="213" t="s">
        <v>1203</v>
      </c>
    </row>
    <row r="20" spans="1:5">
      <c r="A20" s="217" t="s">
        <v>585</v>
      </c>
      <c r="B20" s="154" t="s">
        <v>587</v>
      </c>
      <c r="C20" s="127" t="s">
        <v>615</v>
      </c>
      <c r="D20" s="128" t="s">
        <v>1198</v>
      </c>
      <c r="E20" s="213" t="s">
        <v>1198</v>
      </c>
    </row>
    <row r="21" spans="1:5">
      <c r="A21" s="217" t="s">
        <v>585</v>
      </c>
      <c r="B21" s="154" t="s">
        <v>577</v>
      </c>
      <c r="C21" s="127" t="s">
        <v>615</v>
      </c>
      <c r="D21" s="127" t="s">
        <v>616</v>
      </c>
      <c r="E21" s="213" t="s">
        <v>616</v>
      </c>
    </row>
    <row r="22" spans="1:5">
      <c r="A22" s="217" t="s">
        <v>585</v>
      </c>
      <c r="B22" s="154" t="s">
        <v>588</v>
      </c>
      <c r="C22" s="127" t="s">
        <v>615</v>
      </c>
      <c r="D22" s="127" t="s">
        <v>616</v>
      </c>
      <c r="E22" s="213" t="s">
        <v>616</v>
      </c>
    </row>
    <row r="23" spans="1:5">
      <c r="A23" s="217" t="s">
        <v>585</v>
      </c>
      <c r="B23" s="154" t="s">
        <v>1205</v>
      </c>
      <c r="C23" s="127" t="s">
        <v>616</v>
      </c>
      <c r="D23" s="128" t="s">
        <v>1198</v>
      </c>
      <c r="E23" s="213" t="s">
        <v>1198</v>
      </c>
    </row>
    <row r="24" spans="1:5">
      <c r="A24" s="217" t="s">
        <v>585</v>
      </c>
      <c r="B24" s="154" t="s">
        <v>600</v>
      </c>
      <c r="C24" s="127" t="s">
        <v>615</v>
      </c>
      <c r="D24" s="128" t="s">
        <v>1199</v>
      </c>
      <c r="E24" s="213" t="s">
        <v>1199</v>
      </c>
    </row>
    <row r="25" spans="1:5">
      <c r="A25" s="217"/>
      <c r="B25" s="154"/>
      <c r="C25" s="127"/>
      <c r="D25" s="128"/>
      <c r="E25" s="213"/>
    </row>
    <row r="26" spans="1:5">
      <c r="A26" s="232" t="s">
        <v>613</v>
      </c>
      <c r="B26" s="233"/>
      <c r="C26" s="234"/>
      <c r="D26" s="235"/>
      <c r="E26" s="236"/>
    </row>
    <row r="27" spans="1:5">
      <c r="A27" s="217" t="s">
        <v>613</v>
      </c>
      <c r="B27" s="154" t="s">
        <v>1196</v>
      </c>
      <c r="C27" s="127" t="s">
        <v>615</v>
      </c>
      <c r="D27" s="128" t="s">
        <v>615</v>
      </c>
      <c r="E27" s="213" t="s">
        <v>615</v>
      </c>
    </row>
    <row r="28" spans="1:5">
      <c r="A28" s="217" t="s">
        <v>613</v>
      </c>
      <c r="B28" s="154" t="s">
        <v>1197</v>
      </c>
      <c r="C28" s="127" t="s">
        <v>615</v>
      </c>
      <c r="D28" s="128" t="s">
        <v>615</v>
      </c>
      <c r="E28" s="213" t="s">
        <v>615</v>
      </c>
    </row>
    <row r="29" spans="1:5">
      <c r="A29" s="217" t="s">
        <v>613</v>
      </c>
      <c r="B29" s="154" t="s">
        <v>1200</v>
      </c>
      <c r="C29" s="127" t="s">
        <v>615</v>
      </c>
      <c r="D29" s="128" t="s">
        <v>615</v>
      </c>
      <c r="E29" s="213" t="s">
        <v>615</v>
      </c>
    </row>
    <row r="30" spans="1:5">
      <c r="A30" s="217" t="s">
        <v>613</v>
      </c>
      <c r="B30" s="154" t="s">
        <v>1201</v>
      </c>
      <c r="C30" s="127" t="s">
        <v>615</v>
      </c>
      <c r="D30" s="128" t="s">
        <v>615</v>
      </c>
      <c r="E30" s="213" t="s">
        <v>615</v>
      </c>
    </row>
    <row r="31" spans="1:5">
      <c r="A31" s="217" t="s">
        <v>613</v>
      </c>
      <c r="B31" s="154" t="s">
        <v>614</v>
      </c>
      <c r="C31" s="127" t="s">
        <v>615</v>
      </c>
      <c r="D31" s="128" t="s">
        <v>615</v>
      </c>
      <c r="E31" s="213" t="s">
        <v>615</v>
      </c>
    </row>
    <row r="32" spans="1:5">
      <c r="A32" s="229"/>
      <c r="B32" s="230"/>
      <c r="C32" s="164"/>
      <c r="D32" s="147"/>
      <c r="E32" s="231"/>
    </row>
    <row r="33" spans="1:8">
      <c r="A33" s="232" t="s">
        <v>360</v>
      </c>
      <c r="B33" s="233"/>
      <c r="C33" s="234"/>
      <c r="D33" s="235"/>
      <c r="E33" s="236"/>
    </row>
    <row r="34" spans="1:8">
      <c r="A34" s="217" t="s">
        <v>590</v>
      </c>
      <c r="B34" s="154" t="s">
        <v>591</v>
      </c>
      <c r="C34" s="127" t="s">
        <v>616</v>
      </c>
      <c r="D34" s="128" t="s">
        <v>1206</v>
      </c>
      <c r="E34" s="213" t="s">
        <v>1212</v>
      </c>
    </row>
    <row r="35" spans="1:8">
      <c r="A35" s="217" t="s">
        <v>590</v>
      </c>
      <c r="B35" s="154" t="s">
        <v>592</v>
      </c>
      <c r="C35" s="127" t="s">
        <v>616</v>
      </c>
      <c r="D35" s="128" t="s">
        <v>1207</v>
      </c>
      <c r="E35" s="742" t="s">
        <v>616</v>
      </c>
    </row>
    <row r="36" spans="1:8">
      <c r="A36" s="217" t="s">
        <v>590</v>
      </c>
      <c r="B36" s="154" t="s">
        <v>1209</v>
      </c>
      <c r="C36" s="127" t="s">
        <v>595</v>
      </c>
      <c r="D36" s="128" t="s">
        <v>1208</v>
      </c>
      <c r="E36" s="213" t="s">
        <v>1211</v>
      </c>
    </row>
    <row r="37" spans="1:8">
      <c r="A37" s="217" t="s">
        <v>590</v>
      </c>
      <c r="B37" s="154" t="s">
        <v>1210</v>
      </c>
      <c r="C37" s="127" t="s">
        <v>616</v>
      </c>
      <c r="D37" s="127" t="s">
        <v>616</v>
      </c>
      <c r="E37" s="742" t="s">
        <v>616</v>
      </c>
      <c r="G37" s="22" t="s">
        <v>604</v>
      </c>
      <c r="H37" s="22" t="s">
        <v>617</v>
      </c>
    </row>
    <row r="38" spans="1:8">
      <c r="A38" s="217" t="s">
        <v>590</v>
      </c>
      <c r="B38" s="154" t="s">
        <v>594</v>
      </c>
      <c r="C38" s="127" t="s">
        <v>616</v>
      </c>
      <c r="D38" s="128" t="s">
        <v>1206</v>
      </c>
      <c r="E38" s="213" t="s">
        <v>1212</v>
      </c>
      <c r="G38" s="22" t="s">
        <v>618</v>
      </c>
      <c r="H38" s="22" t="s">
        <v>619</v>
      </c>
    </row>
    <row r="39" spans="1:8">
      <c r="A39" s="217" t="s">
        <v>590</v>
      </c>
      <c r="B39" s="154" t="s">
        <v>593</v>
      </c>
      <c r="C39" s="127" t="s">
        <v>616</v>
      </c>
      <c r="D39" s="128" t="s">
        <v>1207</v>
      </c>
      <c r="E39" s="742" t="s">
        <v>616</v>
      </c>
      <c r="G39" s="22" t="s">
        <v>571</v>
      </c>
      <c r="H39" s="22" t="s">
        <v>1252</v>
      </c>
    </row>
    <row r="40" spans="1:8" ht="24">
      <c r="A40" s="1807" t="s">
        <v>1257</v>
      </c>
      <c r="B40" s="1808"/>
      <c r="C40" s="740" t="s">
        <v>1185</v>
      </c>
      <c r="D40" s="739" t="s">
        <v>1213</v>
      </c>
      <c r="E40" s="741" t="s">
        <v>1214</v>
      </c>
      <c r="G40" s="22" t="s">
        <v>574</v>
      </c>
      <c r="H40" s="22" t="s">
        <v>1254</v>
      </c>
    </row>
    <row r="41" spans="1:8">
      <c r="A41" s="217"/>
      <c r="B41" s="154"/>
      <c r="C41" s="127"/>
      <c r="D41" s="128"/>
      <c r="E41" s="213"/>
      <c r="G41" s="22" t="s">
        <v>576</v>
      </c>
      <c r="H41" s="22" t="s">
        <v>1255</v>
      </c>
    </row>
    <row r="42" spans="1:8">
      <c r="A42" s="232" t="s">
        <v>620</v>
      </c>
      <c r="B42" s="233"/>
      <c r="C42" s="234"/>
      <c r="D42" s="235"/>
      <c r="E42" s="236"/>
    </row>
    <row r="43" spans="1:8">
      <c r="A43" s="217" t="s">
        <v>620</v>
      </c>
      <c r="B43" s="154" t="s">
        <v>621</v>
      </c>
      <c r="C43" s="127" t="s">
        <v>595</v>
      </c>
      <c r="D43" s="128" t="s">
        <v>595</v>
      </c>
      <c r="E43" s="213" t="s">
        <v>595</v>
      </c>
    </row>
    <row r="44" spans="1:8">
      <c r="A44" s="217" t="s">
        <v>620</v>
      </c>
      <c r="B44" s="154" t="s">
        <v>265</v>
      </c>
      <c r="C44" s="127" t="s">
        <v>616</v>
      </c>
      <c r="D44" s="128" t="s">
        <v>616</v>
      </c>
      <c r="E44" s="213" t="s">
        <v>616</v>
      </c>
    </row>
    <row r="45" spans="1:8">
      <c r="A45" s="217" t="s">
        <v>620</v>
      </c>
      <c r="B45" s="154" t="s">
        <v>622</v>
      </c>
      <c r="C45" s="127" t="s">
        <v>595</v>
      </c>
      <c r="D45" s="128" t="s">
        <v>595</v>
      </c>
      <c r="E45" s="213" t="s">
        <v>595</v>
      </c>
    </row>
    <row r="46" spans="1:8">
      <c r="A46" s="229"/>
      <c r="B46" s="230"/>
      <c r="C46" s="164"/>
      <c r="D46" s="147"/>
      <c r="E46" s="231"/>
    </row>
    <row r="47" spans="1:8">
      <c r="A47" s="232" t="s">
        <v>596</v>
      </c>
      <c r="B47" s="233"/>
      <c r="C47" s="234"/>
      <c r="D47" s="235"/>
      <c r="E47" s="236"/>
    </row>
    <row r="48" spans="1:8">
      <c r="A48" s="217" t="s">
        <v>596</v>
      </c>
      <c r="B48" s="154" t="s">
        <v>606</v>
      </c>
      <c r="C48" s="127" t="s">
        <v>616</v>
      </c>
      <c r="D48" s="128" t="s">
        <v>615</v>
      </c>
      <c r="E48" s="213" t="s">
        <v>615</v>
      </c>
    </row>
    <row r="49" spans="1:5">
      <c r="A49" s="217" t="s">
        <v>596</v>
      </c>
      <c r="B49" s="154" t="s">
        <v>607</v>
      </c>
      <c r="C49" s="127" t="s">
        <v>616</v>
      </c>
      <c r="D49" s="128" t="s">
        <v>615</v>
      </c>
      <c r="E49" s="213" t="s">
        <v>615</v>
      </c>
    </row>
    <row r="50" spans="1:5">
      <c r="A50" s="217" t="s">
        <v>596</v>
      </c>
      <c r="B50" s="154" t="s">
        <v>605</v>
      </c>
      <c r="C50" s="127" t="s">
        <v>616</v>
      </c>
      <c r="D50" s="128" t="s">
        <v>615</v>
      </c>
      <c r="E50" s="213" t="s">
        <v>615</v>
      </c>
    </row>
    <row r="51" spans="1:5">
      <c r="A51" s="217" t="s">
        <v>596</v>
      </c>
      <c r="B51" s="154" t="s">
        <v>608</v>
      </c>
      <c r="C51" s="127" t="s">
        <v>616</v>
      </c>
      <c r="D51" s="127" t="s">
        <v>616</v>
      </c>
      <c r="E51" s="213" t="s">
        <v>615</v>
      </c>
    </row>
    <row r="52" spans="1:5">
      <c r="A52" s="217" t="s">
        <v>596</v>
      </c>
      <c r="B52" s="154" t="s">
        <v>609</v>
      </c>
      <c r="C52" s="127" t="s">
        <v>616</v>
      </c>
      <c r="D52" s="127" t="s">
        <v>616</v>
      </c>
      <c r="E52" s="213" t="s">
        <v>615</v>
      </c>
    </row>
    <row r="53" spans="1:5">
      <c r="A53" s="229"/>
      <c r="B53" s="230"/>
      <c r="C53" s="164"/>
      <c r="D53" s="147"/>
      <c r="E53" s="231"/>
    </row>
    <row r="54" spans="1:5">
      <c r="A54" s="237" t="s">
        <v>698</v>
      </c>
      <c r="B54" s="233"/>
      <c r="C54" s="234"/>
      <c r="D54" s="235"/>
      <c r="E54" s="236"/>
    </row>
    <row r="55" spans="1:5">
      <c r="A55" s="218" t="s">
        <v>699</v>
      </c>
      <c r="B55" s="244" t="s">
        <v>700</v>
      </c>
      <c r="C55" s="127"/>
      <c r="D55" s="128"/>
      <c r="E55" s="213"/>
    </row>
    <row r="56" spans="1:5">
      <c r="A56" s="218" t="s">
        <v>701</v>
      </c>
      <c r="B56" s="154"/>
      <c r="C56" s="127"/>
      <c r="D56" s="128"/>
      <c r="E56" s="213"/>
    </row>
    <row r="57" spans="1:5">
      <c r="A57" s="218" t="s">
        <v>702</v>
      </c>
      <c r="B57" s="154"/>
      <c r="C57" s="127"/>
      <c r="D57" s="128"/>
      <c r="E57" s="213"/>
    </row>
    <row r="58" spans="1:5">
      <c r="A58" s="218" t="s">
        <v>703</v>
      </c>
      <c r="B58" s="154"/>
      <c r="C58" s="127"/>
      <c r="D58" s="128"/>
      <c r="E58" s="213"/>
    </row>
    <row r="59" spans="1:5">
      <c r="A59" s="245" t="s">
        <v>589</v>
      </c>
      <c r="B59" s="230"/>
      <c r="C59" s="164"/>
      <c r="D59" s="147"/>
      <c r="E59" s="231"/>
    </row>
    <row r="60" spans="1:5">
      <c r="A60" s="237" t="s">
        <v>539</v>
      </c>
      <c r="B60" s="233"/>
      <c r="C60" s="234"/>
      <c r="D60" s="235"/>
      <c r="E60" s="236"/>
    </row>
    <row r="61" spans="1:5">
      <c r="A61" s="218" t="s">
        <v>589</v>
      </c>
      <c r="B61" s="154"/>
      <c r="C61" s="127"/>
      <c r="D61" s="128"/>
      <c r="E61" s="213"/>
    </row>
    <row r="62" spans="1:5">
      <c r="A62" s="218" t="s">
        <v>589</v>
      </c>
      <c r="B62" s="154"/>
      <c r="C62" s="127"/>
      <c r="D62" s="128"/>
      <c r="E62" s="213"/>
    </row>
    <row r="63" spans="1:5" ht="12.75" thickBot="1">
      <c r="A63" s="219" t="s">
        <v>589</v>
      </c>
      <c r="B63" s="220"/>
      <c r="C63" s="216"/>
      <c r="D63" s="214"/>
      <c r="E63" s="215"/>
    </row>
  </sheetData>
  <mergeCells count="1">
    <mergeCell ref="A40:B40"/>
  </mergeCells>
  <pageMargins left="0.70866141732283472" right="0.70866141732283472" top="0.74803149606299213" bottom="0.74803149606299213" header="0.31496062992125984" footer="0.31496062992125984"/>
  <pageSetup paperSize="9" scale="74" orientation="portrait" horizontalDpi="1200" verticalDpi="12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workbookViewId="0">
      <selection activeCell="D8" sqref="D8"/>
    </sheetView>
  </sheetViews>
  <sheetFormatPr defaultColWidth="8.85546875" defaultRowHeight="12"/>
  <cols>
    <col min="1" max="1" width="37.28515625" style="385" bestFit="1" customWidth="1"/>
    <col min="2" max="8" width="10.85546875" style="385" customWidth="1"/>
    <col min="9" max="9" width="8.85546875" style="385"/>
    <col min="10" max="10" width="29.5703125" style="385" customWidth="1"/>
    <col min="11" max="11" width="8.85546875" style="385"/>
    <col min="12" max="12" width="12.42578125" style="385" customWidth="1"/>
    <col min="13" max="16384" width="8.85546875" style="385"/>
  </cols>
  <sheetData>
    <row r="1" spans="1:12">
      <c r="A1" s="1938" t="s">
        <v>891</v>
      </c>
      <c r="B1" s="1939"/>
      <c r="C1" s="1939"/>
      <c r="D1" s="1939"/>
      <c r="E1" s="1939"/>
      <c r="F1" s="1939"/>
      <c r="G1" s="1939"/>
      <c r="H1" s="1940"/>
    </row>
    <row r="2" spans="1:12">
      <c r="A2" s="409" t="s">
        <v>888</v>
      </c>
      <c r="B2" s="1941" t="s">
        <v>884</v>
      </c>
      <c r="C2" s="1934"/>
      <c r="D2" s="1935"/>
      <c r="E2" s="1936" t="s">
        <v>885</v>
      </c>
      <c r="F2" s="1936"/>
      <c r="G2" s="1937"/>
      <c r="H2" s="389" t="s">
        <v>728</v>
      </c>
    </row>
    <row r="3" spans="1:12">
      <c r="A3" s="410" t="s">
        <v>889</v>
      </c>
      <c r="B3" s="387" t="s">
        <v>886</v>
      </c>
      <c r="C3" s="387" t="s">
        <v>887</v>
      </c>
      <c r="D3" s="394" t="s">
        <v>890</v>
      </c>
      <c r="E3" s="393" t="s">
        <v>886</v>
      </c>
      <c r="F3" s="388" t="s">
        <v>887</v>
      </c>
      <c r="G3" s="388" t="s">
        <v>890</v>
      </c>
      <c r="H3" s="389" t="s">
        <v>728</v>
      </c>
    </row>
    <row r="4" spans="1:12">
      <c r="A4" s="390" t="s">
        <v>264</v>
      </c>
      <c r="B4" s="395">
        <v>328.61399999999998</v>
      </c>
      <c r="C4" s="396">
        <v>1392.1680000000001</v>
      </c>
      <c r="D4" s="397">
        <v>22.514999999999997</v>
      </c>
      <c r="E4" s="395">
        <v>2.891</v>
      </c>
      <c r="F4" s="396">
        <v>222.815</v>
      </c>
      <c r="G4" s="396">
        <v>9.9969999999999999</v>
      </c>
      <c r="H4" s="398"/>
    </row>
    <row r="5" spans="1:12">
      <c r="A5" s="391" t="s">
        <v>729</v>
      </c>
      <c r="B5" s="399">
        <v>5413.1190000000006</v>
      </c>
      <c r="C5" s="400">
        <v>18620.401999999998</v>
      </c>
      <c r="D5" s="401">
        <v>122.60300000000001</v>
      </c>
      <c r="E5" s="399">
        <v>67.47399999999999</v>
      </c>
      <c r="F5" s="400">
        <v>2888.6159999999995</v>
      </c>
      <c r="G5" s="400">
        <v>182.40199999999999</v>
      </c>
      <c r="H5" s="402"/>
    </row>
    <row r="6" spans="1:12">
      <c r="A6" s="391" t="s">
        <v>730</v>
      </c>
      <c r="B6" s="399">
        <v>49.509000000000007</v>
      </c>
      <c r="C6" s="400">
        <v>275.01300000000003</v>
      </c>
      <c r="D6" s="401">
        <v>5.418000000000001</v>
      </c>
      <c r="E6" s="399">
        <v>0.49800000000000005</v>
      </c>
      <c r="F6" s="400">
        <v>47.808000000000007</v>
      </c>
      <c r="G6" s="400">
        <v>1.8820000000000001</v>
      </c>
      <c r="H6" s="402"/>
    </row>
    <row r="7" spans="1:12">
      <c r="A7" s="391" t="s">
        <v>731</v>
      </c>
      <c r="B7" s="399">
        <v>377.05700000000002</v>
      </c>
      <c r="C7" s="400">
        <v>2274.2460000000001</v>
      </c>
      <c r="D7" s="401">
        <v>18.639000000000003</v>
      </c>
      <c r="E7" s="399">
        <v>35.214999999999996</v>
      </c>
      <c r="F7" s="400">
        <v>849.30100000000016</v>
      </c>
      <c r="G7" s="400">
        <v>15.542000000000002</v>
      </c>
      <c r="H7" s="402"/>
      <c r="J7" s="1933" t="s">
        <v>891</v>
      </c>
      <c r="K7" s="1933"/>
      <c r="L7" s="1933"/>
    </row>
    <row r="8" spans="1:12">
      <c r="A8" s="391" t="s">
        <v>732</v>
      </c>
      <c r="B8" s="399">
        <v>25513.769</v>
      </c>
      <c r="C8" s="400">
        <v>6307.8930000000009</v>
      </c>
      <c r="D8" s="401">
        <v>18.440999999999999</v>
      </c>
      <c r="E8" s="399">
        <v>9.0399999999999991</v>
      </c>
      <c r="F8" s="400">
        <v>885.69500000000005</v>
      </c>
      <c r="G8" s="400">
        <v>4.0430000000000001</v>
      </c>
      <c r="H8" s="403">
        <v>24291.118999999999</v>
      </c>
      <c r="K8" s="385" t="s">
        <v>884</v>
      </c>
      <c r="L8" s="385" t="s">
        <v>885</v>
      </c>
    </row>
    <row r="9" spans="1:12">
      <c r="A9" s="391" t="s">
        <v>733</v>
      </c>
      <c r="B9" s="399">
        <v>8723.4259999999995</v>
      </c>
      <c r="C9" s="400">
        <v>73786.460000000006</v>
      </c>
      <c r="D9" s="401">
        <v>1060.008</v>
      </c>
      <c r="E9" s="399">
        <v>107.34</v>
      </c>
      <c r="F9" s="400">
        <v>15944.076999999999</v>
      </c>
      <c r="G9" s="400">
        <v>379.68900000000002</v>
      </c>
      <c r="H9" s="402"/>
      <c r="J9" s="385" t="s">
        <v>916</v>
      </c>
      <c r="K9" s="421">
        <f>SUM(B9:D9)</f>
        <v>83569.894</v>
      </c>
      <c r="L9" s="421">
        <f>SUM(E9:G9)</f>
        <v>16431.106</v>
      </c>
    </row>
    <row r="10" spans="1:12">
      <c r="A10" s="391" t="s">
        <v>734</v>
      </c>
      <c r="B10" s="399">
        <v>23.422000000000001</v>
      </c>
      <c r="C10" s="400">
        <v>22.860000000000003</v>
      </c>
      <c r="D10" s="401">
        <v>0.314</v>
      </c>
      <c r="E10" s="399">
        <v>0.33600000000000002</v>
      </c>
      <c r="F10" s="400">
        <v>2.9540000000000002</v>
      </c>
      <c r="G10" s="400">
        <v>0.11400000000000002</v>
      </c>
      <c r="H10" s="402"/>
    </row>
    <row r="11" spans="1:12" ht="12.75" thickBot="1">
      <c r="A11" s="392" t="s">
        <v>735</v>
      </c>
      <c r="B11" s="404">
        <v>1028.577</v>
      </c>
      <c r="C11" s="405">
        <v>29046.767999999996</v>
      </c>
      <c r="D11" s="406">
        <v>141.64000000000001</v>
      </c>
      <c r="E11" s="404">
        <v>63.778999999999996</v>
      </c>
      <c r="F11" s="405">
        <v>12539.984</v>
      </c>
      <c r="G11" s="405">
        <v>130.59399999999999</v>
      </c>
      <c r="H11" s="407"/>
    </row>
    <row r="12" spans="1:12">
      <c r="B12" s="386"/>
      <c r="C12" s="386"/>
      <c r="D12" s="386"/>
      <c r="E12" s="386"/>
      <c r="F12" s="386"/>
      <c r="G12" s="386"/>
      <c r="H12" s="386"/>
    </row>
    <row r="13" spans="1:12" ht="12.75" thickBot="1">
      <c r="B13" s="386"/>
      <c r="C13" s="386"/>
      <c r="D13" s="386"/>
      <c r="E13" s="386"/>
      <c r="F13" s="386"/>
      <c r="G13" s="386"/>
      <c r="H13" s="386"/>
    </row>
    <row r="14" spans="1:12">
      <c r="A14" s="1938" t="s">
        <v>892</v>
      </c>
      <c r="B14" s="1939"/>
      <c r="C14" s="1939"/>
      <c r="D14" s="1939"/>
      <c r="E14" s="1939"/>
      <c r="F14" s="1939"/>
      <c r="G14" s="1939"/>
      <c r="H14" s="1940"/>
    </row>
    <row r="15" spans="1:12">
      <c r="A15" s="409" t="s">
        <v>888</v>
      </c>
      <c r="B15" s="1941" t="s">
        <v>884</v>
      </c>
      <c r="C15" s="1934"/>
      <c r="D15" s="1935"/>
      <c r="E15" s="1936" t="s">
        <v>885</v>
      </c>
      <c r="F15" s="1936"/>
      <c r="G15" s="1937"/>
      <c r="H15" s="389" t="s">
        <v>728</v>
      </c>
    </row>
    <row r="16" spans="1:12">
      <c r="A16" s="410" t="s">
        <v>889</v>
      </c>
      <c r="B16" s="387" t="s">
        <v>886</v>
      </c>
      <c r="C16" s="387" t="s">
        <v>887</v>
      </c>
      <c r="D16" s="394" t="s">
        <v>890</v>
      </c>
      <c r="E16" s="393" t="s">
        <v>886</v>
      </c>
      <c r="F16" s="388" t="s">
        <v>887</v>
      </c>
      <c r="G16" s="388" t="s">
        <v>890</v>
      </c>
      <c r="H16" s="389" t="s">
        <v>728</v>
      </c>
    </row>
    <row r="17" spans="1:12">
      <c r="A17" s="390" t="s">
        <v>264</v>
      </c>
      <c r="B17" s="395">
        <v>22604.101000000002</v>
      </c>
      <c r="C17" s="396">
        <v>143384.93</v>
      </c>
      <c r="D17" s="397">
        <v>3247.7560000000003</v>
      </c>
      <c r="E17" s="395">
        <v>273.87799999999999</v>
      </c>
      <c r="F17" s="396">
        <v>26282.347999999998</v>
      </c>
      <c r="G17" s="396">
        <v>1320.9870000000001</v>
      </c>
      <c r="H17" s="398"/>
    </row>
    <row r="18" spans="1:12">
      <c r="A18" s="391" t="s">
        <v>729</v>
      </c>
      <c r="B18" s="399">
        <v>49993.032000000007</v>
      </c>
      <c r="C18" s="400">
        <v>160698.94500000001</v>
      </c>
      <c r="D18" s="401">
        <v>1076.146</v>
      </c>
      <c r="E18" s="399">
        <v>612.44799999999998</v>
      </c>
      <c r="F18" s="400">
        <v>23942.228999999999</v>
      </c>
      <c r="G18" s="400">
        <v>3112.5140000000001</v>
      </c>
      <c r="H18" s="402"/>
    </row>
    <row r="19" spans="1:12">
      <c r="A19" s="391" t="s">
        <v>730</v>
      </c>
      <c r="B19" s="399">
        <v>10108.779</v>
      </c>
      <c r="C19" s="400">
        <v>56311.165000000001</v>
      </c>
      <c r="D19" s="401">
        <v>1029.7280000000001</v>
      </c>
      <c r="E19" s="399">
        <v>108.68299999999999</v>
      </c>
      <c r="F19" s="400">
        <v>10439.258</v>
      </c>
      <c r="G19" s="400">
        <v>367.74700000000001</v>
      </c>
      <c r="H19" s="402"/>
    </row>
    <row r="20" spans="1:12">
      <c r="A20" s="391" t="s">
        <v>731</v>
      </c>
      <c r="B20" s="399">
        <v>1857.6860000000001</v>
      </c>
      <c r="C20" s="400">
        <v>11765.32</v>
      </c>
      <c r="D20" s="401">
        <v>101.81799999999998</v>
      </c>
      <c r="E20" s="399">
        <v>181.309</v>
      </c>
      <c r="F20" s="400">
        <v>4536.848</v>
      </c>
      <c r="G20" s="400">
        <v>81.019000000000005</v>
      </c>
      <c r="H20" s="402"/>
      <c r="J20" s="1933" t="s">
        <v>892</v>
      </c>
      <c r="K20" s="1933"/>
      <c r="L20" s="1933"/>
    </row>
    <row r="21" spans="1:12">
      <c r="A21" s="391" t="s">
        <v>732</v>
      </c>
      <c r="B21" s="399">
        <v>70166.93299999999</v>
      </c>
      <c r="C21" s="400">
        <v>19972.355</v>
      </c>
      <c r="D21" s="401">
        <v>65.611999999999995</v>
      </c>
      <c r="E21" s="399">
        <v>21.376000000000001</v>
      </c>
      <c r="F21" s="400">
        <v>3144.9850000000001</v>
      </c>
      <c r="G21" s="400">
        <v>28.678000000000001</v>
      </c>
      <c r="H21" s="403">
        <v>73284.060999999987</v>
      </c>
      <c r="K21" s="385" t="s">
        <v>884</v>
      </c>
      <c r="L21" s="385" t="s">
        <v>885</v>
      </c>
    </row>
    <row r="22" spans="1:12">
      <c r="A22" s="391" t="s">
        <v>733</v>
      </c>
      <c r="B22" s="399">
        <v>76863.366999999998</v>
      </c>
      <c r="C22" s="400">
        <v>648252.04999999993</v>
      </c>
      <c r="D22" s="401">
        <v>9549.9390000000003</v>
      </c>
      <c r="E22" s="399">
        <v>985.07300000000009</v>
      </c>
      <c r="F22" s="400">
        <v>148539.674</v>
      </c>
      <c r="G22" s="400">
        <v>3717.8970000000004</v>
      </c>
      <c r="H22" s="402"/>
      <c r="J22" s="385" t="s">
        <v>916</v>
      </c>
      <c r="K22" s="421">
        <f>SUM(B22:D22)</f>
        <v>734665.35599999991</v>
      </c>
      <c r="L22" s="421">
        <f>SUM(E22:G22)</f>
        <v>153242.644</v>
      </c>
    </row>
    <row r="23" spans="1:12">
      <c r="A23" s="391" t="s">
        <v>734</v>
      </c>
      <c r="B23" s="399">
        <v>183145.36300000001</v>
      </c>
      <c r="C23" s="400">
        <v>213678.068</v>
      </c>
      <c r="D23" s="401">
        <v>3954.1379999999999</v>
      </c>
      <c r="E23" s="399">
        <v>1820.67</v>
      </c>
      <c r="F23" s="400">
        <v>29713.956000000002</v>
      </c>
      <c r="G23" s="400">
        <v>1336.41</v>
      </c>
      <c r="H23" s="402"/>
    </row>
    <row r="24" spans="1:12" ht="12.75" thickBot="1">
      <c r="A24" s="392" t="s">
        <v>735</v>
      </c>
      <c r="B24" s="404">
        <v>1260.3419999999999</v>
      </c>
      <c r="C24" s="405">
        <v>34430.965000000004</v>
      </c>
      <c r="D24" s="406">
        <v>175.43199999999999</v>
      </c>
      <c r="E24" s="404">
        <v>79.356000000000009</v>
      </c>
      <c r="F24" s="405">
        <v>15597.832</v>
      </c>
      <c r="G24" s="405">
        <v>170.57900000000001</v>
      </c>
      <c r="H24" s="407"/>
    </row>
    <row r="26" spans="1:12" ht="12.75" thickBot="1"/>
    <row r="27" spans="1:12">
      <c r="A27" s="1938" t="s">
        <v>736</v>
      </c>
      <c r="B27" s="1939"/>
      <c r="C27" s="1939"/>
      <c r="D27" s="1939"/>
      <c r="E27" s="1939"/>
      <c r="F27" s="1939"/>
      <c r="G27" s="1939"/>
      <c r="H27" s="1940"/>
    </row>
    <row r="28" spans="1:12">
      <c r="A28" s="409" t="s">
        <v>888</v>
      </c>
      <c r="B28" s="1934" t="s">
        <v>884</v>
      </c>
      <c r="C28" s="1934"/>
      <c r="D28" s="1935"/>
      <c r="E28" s="1936" t="s">
        <v>885</v>
      </c>
      <c r="F28" s="1936"/>
      <c r="G28" s="1937"/>
      <c r="H28" s="389" t="s">
        <v>728</v>
      </c>
    </row>
    <row r="29" spans="1:12">
      <c r="A29" s="410" t="s">
        <v>889</v>
      </c>
      <c r="B29" s="408" t="s">
        <v>886</v>
      </c>
      <c r="C29" s="387" t="s">
        <v>887</v>
      </c>
      <c r="D29" s="394" t="s">
        <v>890</v>
      </c>
      <c r="E29" s="393" t="s">
        <v>886</v>
      </c>
      <c r="F29" s="388" t="s">
        <v>887</v>
      </c>
      <c r="G29" s="388" t="s">
        <v>890</v>
      </c>
      <c r="H29" s="389" t="s">
        <v>728</v>
      </c>
    </row>
    <row r="30" spans="1:12">
      <c r="A30" s="390" t="s">
        <v>264</v>
      </c>
      <c r="B30" s="395">
        <v>1994.0700000000002</v>
      </c>
      <c r="C30" s="396">
        <v>11895.903999999999</v>
      </c>
      <c r="D30" s="397">
        <v>250.226</v>
      </c>
      <c r="E30" s="395">
        <v>23.662000000000003</v>
      </c>
      <c r="F30" s="396">
        <v>2137.8789999999999</v>
      </c>
      <c r="G30" s="396">
        <v>101.259</v>
      </c>
      <c r="H30" s="398"/>
    </row>
    <row r="31" spans="1:12">
      <c r="A31" s="391" t="s">
        <v>729</v>
      </c>
      <c r="B31" s="399">
        <v>4601.8239999999996</v>
      </c>
      <c r="C31" s="400">
        <v>15222.377999999997</v>
      </c>
      <c r="D31" s="401">
        <v>103.375</v>
      </c>
      <c r="E31" s="399">
        <v>57.088000000000008</v>
      </c>
      <c r="F31" s="400">
        <v>2267.0300000000002</v>
      </c>
      <c r="G31" s="400">
        <v>316.07099999999997</v>
      </c>
      <c r="H31" s="402"/>
    </row>
    <row r="32" spans="1:12">
      <c r="A32" s="391" t="s">
        <v>730</v>
      </c>
      <c r="B32" s="399">
        <v>1427.8799999999999</v>
      </c>
      <c r="C32" s="400">
        <v>8067.8709999999992</v>
      </c>
      <c r="D32" s="401">
        <v>144.96499999999997</v>
      </c>
      <c r="E32" s="399">
        <v>15.71</v>
      </c>
      <c r="F32" s="400">
        <v>1483.7660000000001</v>
      </c>
      <c r="G32" s="400">
        <v>51.671999999999997</v>
      </c>
      <c r="H32" s="402"/>
    </row>
    <row r="33" spans="1:8">
      <c r="A33" s="391" t="s">
        <v>731</v>
      </c>
      <c r="B33" s="399">
        <v>1774.2630000000001</v>
      </c>
      <c r="C33" s="400">
        <v>11001.757999999998</v>
      </c>
      <c r="D33" s="401">
        <v>91.025000000000006</v>
      </c>
      <c r="E33" s="399">
        <v>172.69400000000002</v>
      </c>
      <c r="F33" s="400">
        <v>4220.5389999999998</v>
      </c>
      <c r="G33" s="400">
        <v>74.720999999999989</v>
      </c>
      <c r="H33" s="402"/>
    </row>
    <row r="34" spans="1:8">
      <c r="A34" s="391" t="s">
        <v>732</v>
      </c>
      <c r="B34" s="399">
        <v>6557.1080000000002</v>
      </c>
      <c r="C34" s="400">
        <v>1885.8019999999997</v>
      </c>
      <c r="D34" s="401">
        <v>4.9209999999999994</v>
      </c>
      <c r="E34" s="399">
        <v>2.2210000000000001</v>
      </c>
      <c r="F34" s="400">
        <v>277.88200000000001</v>
      </c>
      <c r="G34" s="400">
        <v>2.2959999999999998</v>
      </c>
      <c r="H34" s="403">
        <v>6616</v>
      </c>
    </row>
    <row r="35" spans="1:8">
      <c r="A35" s="391" t="s">
        <v>733</v>
      </c>
      <c r="B35" s="399">
        <v>22300.406000000003</v>
      </c>
      <c r="C35" s="400">
        <v>187826.22499999998</v>
      </c>
      <c r="D35" s="401">
        <v>2713.5729999999999</v>
      </c>
      <c r="E35" s="399">
        <v>283.28000000000003</v>
      </c>
      <c r="F35" s="400">
        <v>41960.166999999994</v>
      </c>
      <c r="G35" s="400">
        <v>1030.3490000000002</v>
      </c>
      <c r="H35" s="402"/>
    </row>
    <row r="36" spans="1:8">
      <c r="A36" s="391" t="s">
        <v>734</v>
      </c>
      <c r="B36" s="399">
        <v>19363.044000000002</v>
      </c>
      <c r="C36" s="400">
        <v>23024.154000000002</v>
      </c>
      <c r="D36" s="401">
        <v>429.21399999999994</v>
      </c>
      <c r="E36" s="399">
        <v>186.42800000000003</v>
      </c>
      <c r="F36" s="400">
        <v>3195.4650000000006</v>
      </c>
      <c r="G36" s="400">
        <v>143.03</v>
      </c>
      <c r="H36" s="402"/>
    </row>
    <row r="37" spans="1:8" ht="12.75" thickBot="1">
      <c r="A37" s="392" t="s">
        <v>735</v>
      </c>
      <c r="B37" s="404">
        <v>221.239</v>
      </c>
      <c r="C37" s="405">
        <v>6057.3890000000001</v>
      </c>
      <c r="D37" s="406">
        <v>29.616</v>
      </c>
      <c r="E37" s="404">
        <v>13.966999999999999</v>
      </c>
      <c r="F37" s="405">
        <v>2726.63</v>
      </c>
      <c r="G37" s="405">
        <v>27.936999999999998</v>
      </c>
      <c r="H37" s="407"/>
    </row>
  </sheetData>
  <mergeCells count="11">
    <mergeCell ref="J20:L20"/>
    <mergeCell ref="J7:L7"/>
    <mergeCell ref="B28:D28"/>
    <mergeCell ref="E28:G28"/>
    <mergeCell ref="A1:H1"/>
    <mergeCell ref="A14:H14"/>
    <mergeCell ref="A27:H27"/>
    <mergeCell ref="B2:D2"/>
    <mergeCell ref="E2:G2"/>
    <mergeCell ref="B15:D15"/>
    <mergeCell ref="E15:G15"/>
  </mergeCells>
  <pageMargins left="0.7" right="0.7" top="0.75" bottom="0.75" header="0.3" footer="0.3"/>
  <pageSetup paperSize="9" orientation="portrait" horizontalDpi="1200" verticalDpi="12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E18"/>
  <sheetViews>
    <sheetView workbookViewId="0">
      <selection activeCell="D10" sqref="D10"/>
    </sheetView>
  </sheetViews>
  <sheetFormatPr defaultRowHeight="15"/>
  <cols>
    <col min="2" max="2" width="25.28515625" style="296" customWidth="1"/>
    <col min="3" max="3" width="31.42578125" customWidth="1"/>
    <col min="4" max="4" width="30.28515625" customWidth="1"/>
  </cols>
  <sheetData>
    <row r="3" spans="2:5">
      <c r="C3" s="374" t="s">
        <v>753</v>
      </c>
      <c r="D3" s="377" t="s">
        <v>754</v>
      </c>
      <c r="E3" s="375"/>
    </row>
    <row r="4" spans="2:5">
      <c r="B4" s="294" t="s">
        <v>117</v>
      </c>
      <c r="C4" s="297" t="s">
        <v>755</v>
      </c>
      <c r="D4" s="376" t="s">
        <v>755</v>
      </c>
    </row>
    <row r="5" spans="2:5">
      <c r="B5" s="295" t="s">
        <v>264</v>
      </c>
      <c r="C5" s="293">
        <v>24</v>
      </c>
      <c r="D5" s="275">
        <v>37</v>
      </c>
    </row>
    <row r="6" spans="2:5" ht="30">
      <c r="B6" s="295" t="s">
        <v>729</v>
      </c>
      <c r="C6" s="293">
        <v>27</v>
      </c>
      <c r="D6" s="275">
        <v>167</v>
      </c>
    </row>
    <row r="7" spans="2:5">
      <c r="B7" s="295" t="s">
        <v>730</v>
      </c>
      <c r="C7" s="293">
        <v>53</v>
      </c>
      <c r="D7" s="275">
        <v>33</v>
      </c>
    </row>
    <row r="8" spans="2:5">
      <c r="B8" s="295" t="s">
        <v>731</v>
      </c>
      <c r="C8" s="275" t="s">
        <v>143</v>
      </c>
      <c r="D8" s="275" t="s">
        <v>143</v>
      </c>
    </row>
    <row r="9" spans="2:5">
      <c r="B9" s="295" t="s">
        <v>732</v>
      </c>
      <c r="C9" s="275" t="s">
        <v>143</v>
      </c>
      <c r="D9" s="275" t="s">
        <v>143</v>
      </c>
    </row>
    <row r="10" spans="2:5">
      <c r="B10" s="295" t="s">
        <v>733</v>
      </c>
      <c r="C10" s="293">
        <v>30</v>
      </c>
      <c r="D10" s="275">
        <v>169</v>
      </c>
    </row>
    <row r="11" spans="2:5">
      <c r="B11" s="295" t="s">
        <v>734</v>
      </c>
      <c r="C11" s="275" t="s">
        <v>143</v>
      </c>
      <c r="D11" s="275" t="s">
        <v>143</v>
      </c>
    </row>
    <row r="12" spans="2:5">
      <c r="B12" s="295" t="s">
        <v>735</v>
      </c>
      <c r="C12" s="293">
        <v>37</v>
      </c>
      <c r="D12" s="275">
        <v>173</v>
      </c>
    </row>
    <row r="13" spans="2:5">
      <c r="C13" s="274"/>
    </row>
    <row r="14" spans="2:5">
      <c r="C14" s="274"/>
    </row>
    <row r="15" spans="2:5">
      <c r="C15" s="274"/>
    </row>
    <row r="16" spans="2:5">
      <c r="C16" s="274"/>
    </row>
    <row r="17" spans="3:3">
      <c r="C17" s="274"/>
    </row>
    <row r="18" spans="3:3">
      <c r="C18" s="274"/>
    </row>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U36"/>
  <sheetViews>
    <sheetView topLeftCell="D4" workbookViewId="0">
      <selection activeCell="U14" sqref="U14"/>
    </sheetView>
  </sheetViews>
  <sheetFormatPr defaultRowHeight="15"/>
  <cols>
    <col min="13" max="13" width="18.7109375" customWidth="1"/>
    <col min="18" max="18" width="23.42578125" customWidth="1"/>
    <col min="20" max="20" width="20.28515625" customWidth="1"/>
    <col min="21" max="21" width="13.140625" customWidth="1"/>
  </cols>
  <sheetData>
    <row r="3" spans="2:21" ht="15.75" thickBot="1"/>
    <row r="4" spans="2:21" ht="15.75" thickBot="1">
      <c r="B4" s="1944" t="s">
        <v>946</v>
      </c>
      <c r="C4" s="1945"/>
      <c r="D4" s="1945"/>
      <c r="E4" s="1945"/>
      <c r="F4" s="1946"/>
      <c r="G4" s="333"/>
      <c r="M4" s="333" t="s">
        <v>991</v>
      </c>
    </row>
    <row r="5" spans="2:21">
      <c r="B5" s="1952" t="s">
        <v>956</v>
      </c>
      <c r="C5" s="1954" t="s">
        <v>959</v>
      </c>
      <c r="D5" s="1954"/>
      <c r="E5" s="1954" t="s">
        <v>960</v>
      </c>
      <c r="F5" s="1955"/>
      <c r="G5" s="1950" t="s">
        <v>203</v>
      </c>
      <c r="M5" s="10"/>
      <c r="N5" s="10" t="s">
        <v>264</v>
      </c>
      <c r="O5" s="10" t="s">
        <v>4</v>
      </c>
      <c r="P5" s="10" t="s">
        <v>265</v>
      </c>
    </row>
    <row r="6" spans="2:21" ht="15.75" thickBot="1">
      <c r="B6" s="1953"/>
      <c r="C6" s="500" t="s">
        <v>962</v>
      </c>
      <c r="D6" s="500" t="s">
        <v>963</v>
      </c>
      <c r="E6" s="500" t="s">
        <v>962</v>
      </c>
      <c r="F6" s="501" t="s">
        <v>963</v>
      </c>
      <c r="G6" s="1951"/>
      <c r="M6" s="10" t="s">
        <v>990</v>
      </c>
      <c r="N6" s="10">
        <v>18</v>
      </c>
      <c r="O6" s="10">
        <v>30</v>
      </c>
      <c r="P6" s="10">
        <v>12</v>
      </c>
    </row>
    <row r="7" spans="2:21">
      <c r="B7" s="497" t="s">
        <v>947</v>
      </c>
      <c r="C7" s="10" t="s">
        <v>265</v>
      </c>
      <c r="D7" s="10"/>
      <c r="E7" s="10" t="s">
        <v>264</v>
      </c>
      <c r="F7" s="12"/>
      <c r="G7" s="505"/>
      <c r="M7" s="10" t="s">
        <v>988</v>
      </c>
      <c r="N7" s="10">
        <v>38</v>
      </c>
      <c r="O7" s="10" t="s">
        <v>555</v>
      </c>
      <c r="P7" s="10" t="s">
        <v>555</v>
      </c>
    </row>
    <row r="8" spans="2:21">
      <c r="B8" s="497" t="s">
        <v>948</v>
      </c>
      <c r="C8" s="10" t="s">
        <v>265</v>
      </c>
      <c r="D8" s="10"/>
      <c r="E8" s="10" t="s">
        <v>265</v>
      </c>
      <c r="F8" s="12"/>
      <c r="G8" s="506"/>
      <c r="M8" s="10" t="s">
        <v>586</v>
      </c>
      <c r="N8" s="10">
        <v>7</v>
      </c>
      <c r="O8" s="10" t="s">
        <v>555</v>
      </c>
      <c r="P8" s="10" t="s">
        <v>555</v>
      </c>
    </row>
    <row r="9" spans="2:21">
      <c r="B9" s="497" t="s">
        <v>949</v>
      </c>
      <c r="C9" s="10" t="s">
        <v>4</v>
      </c>
      <c r="D9" s="10"/>
      <c r="E9" s="10" t="s">
        <v>265</v>
      </c>
      <c r="F9" s="12"/>
      <c r="G9" s="506"/>
      <c r="M9" s="10" t="s">
        <v>577</v>
      </c>
      <c r="N9" s="10" t="s">
        <v>555</v>
      </c>
      <c r="O9" s="10">
        <v>80</v>
      </c>
      <c r="P9" s="10" t="s">
        <v>555</v>
      </c>
    </row>
    <row r="10" spans="2:21" ht="15.75" thickBot="1">
      <c r="B10" s="497" t="s">
        <v>951</v>
      </c>
      <c r="C10" s="10" t="s">
        <v>4</v>
      </c>
      <c r="D10" s="10"/>
      <c r="E10" s="10" t="s">
        <v>264</v>
      </c>
      <c r="F10" s="12"/>
      <c r="G10" s="507"/>
      <c r="M10" s="10" t="s">
        <v>989</v>
      </c>
      <c r="N10" s="10" t="s">
        <v>555</v>
      </c>
      <c r="O10" s="10" t="s">
        <v>555</v>
      </c>
      <c r="P10" s="10" t="s">
        <v>555</v>
      </c>
    </row>
    <row r="11" spans="2:21" ht="15.75" thickBot="1">
      <c r="B11" s="498" t="s">
        <v>964</v>
      </c>
      <c r="C11" s="499" t="s">
        <v>4</v>
      </c>
      <c r="D11" s="499"/>
      <c r="E11" s="499" t="s">
        <v>4</v>
      </c>
      <c r="F11" s="504"/>
      <c r="G11" s="503"/>
      <c r="M11" s="516" t="s">
        <v>992</v>
      </c>
    </row>
    <row r="12" spans="2:21" ht="15.75" thickBot="1">
      <c r="M12" s="10"/>
      <c r="N12" s="10" t="s">
        <v>264</v>
      </c>
      <c r="O12" s="10" t="s">
        <v>4</v>
      </c>
      <c r="P12" s="10" t="s">
        <v>265</v>
      </c>
      <c r="S12" t="s">
        <v>1087</v>
      </c>
      <c r="T12" t="s">
        <v>1089</v>
      </c>
      <c r="U12" t="s">
        <v>1090</v>
      </c>
    </row>
    <row r="13" spans="2:21" ht="15.75" thickBot="1">
      <c r="B13" s="1947" t="s">
        <v>950</v>
      </c>
      <c r="C13" s="1948"/>
      <c r="D13" s="1948"/>
      <c r="E13" s="1948"/>
      <c r="F13" s="1948"/>
      <c r="G13" s="1948"/>
      <c r="H13" s="1949"/>
      <c r="M13" s="10" t="s">
        <v>990</v>
      </c>
      <c r="N13" s="10">
        <v>20</v>
      </c>
      <c r="O13" s="10">
        <v>40</v>
      </c>
      <c r="P13" s="10">
        <v>20</v>
      </c>
      <c r="R13" t="s">
        <v>1088</v>
      </c>
      <c r="S13">
        <v>30</v>
      </c>
      <c r="T13" s="585">
        <f>(O27+O30)/2</f>
        <v>55.833333333333336</v>
      </c>
      <c r="U13" s="585">
        <f>T13-S13</f>
        <v>25.833333333333336</v>
      </c>
    </row>
    <row r="14" spans="2:21">
      <c r="B14" s="1953" t="s">
        <v>956</v>
      </c>
      <c r="C14" s="1956" t="s">
        <v>959</v>
      </c>
      <c r="D14" s="1956"/>
      <c r="E14" s="1957" t="s">
        <v>960</v>
      </c>
      <c r="F14" s="1957"/>
      <c r="G14" s="1957" t="s">
        <v>961</v>
      </c>
      <c r="H14" s="1958"/>
      <c r="I14" s="1942" t="s">
        <v>203</v>
      </c>
      <c r="M14" s="10" t="s">
        <v>988</v>
      </c>
      <c r="N14" s="10">
        <v>60</v>
      </c>
      <c r="O14" s="10"/>
      <c r="P14" s="10"/>
    </row>
    <row r="15" spans="2:21" ht="15.75" thickBot="1">
      <c r="B15" s="1953"/>
      <c r="C15" s="500" t="s">
        <v>962</v>
      </c>
      <c r="D15" s="500" t="s">
        <v>963</v>
      </c>
      <c r="E15" s="500" t="s">
        <v>962</v>
      </c>
      <c r="F15" s="500" t="s">
        <v>963</v>
      </c>
      <c r="G15" s="500" t="s">
        <v>962</v>
      </c>
      <c r="H15" s="502" t="s">
        <v>963</v>
      </c>
      <c r="I15" s="1943"/>
      <c r="M15" s="10" t="s">
        <v>586</v>
      </c>
      <c r="N15" s="10">
        <v>5</v>
      </c>
      <c r="O15" s="10"/>
      <c r="P15" s="10">
        <v>10</v>
      </c>
    </row>
    <row r="16" spans="2:21">
      <c r="B16" s="497" t="s">
        <v>947</v>
      </c>
      <c r="C16" s="10" t="s">
        <v>265</v>
      </c>
      <c r="D16" s="10"/>
      <c r="E16" s="10" t="s">
        <v>265</v>
      </c>
      <c r="F16" s="10"/>
      <c r="G16" s="10" t="s">
        <v>264</v>
      </c>
      <c r="H16" s="12"/>
      <c r="I16" s="505"/>
      <c r="M16" s="10" t="s">
        <v>577</v>
      </c>
      <c r="N16" s="10"/>
      <c r="O16" s="10">
        <v>60</v>
      </c>
      <c r="P16" s="10">
        <v>60</v>
      </c>
    </row>
    <row r="17" spans="2:16">
      <c r="B17" s="497" t="s">
        <v>948</v>
      </c>
      <c r="C17" s="10" t="s">
        <v>955</v>
      </c>
      <c r="D17" s="10"/>
      <c r="E17" s="10" t="s">
        <v>4</v>
      </c>
      <c r="F17" s="10"/>
      <c r="G17" s="10" t="s">
        <v>264</v>
      </c>
      <c r="H17" s="12"/>
      <c r="I17" s="506"/>
      <c r="M17" s="10" t="s">
        <v>989</v>
      </c>
      <c r="N17" s="10"/>
      <c r="O17" s="10"/>
      <c r="P17" s="10"/>
    </row>
    <row r="18" spans="2:16" ht="15.75" thickBot="1">
      <c r="B18" s="498" t="s">
        <v>949</v>
      </c>
      <c r="C18" s="499" t="s">
        <v>4</v>
      </c>
      <c r="D18" s="499"/>
      <c r="E18" s="499" t="s">
        <v>4</v>
      </c>
      <c r="F18" s="499"/>
      <c r="G18" s="499" t="s">
        <v>264</v>
      </c>
      <c r="H18" s="504"/>
      <c r="I18" s="507"/>
      <c r="M18" s="516" t="s">
        <v>993</v>
      </c>
    </row>
    <row r="19" spans="2:16">
      <c r="M19" s="10"/>
      <c r="N19" s="10" t="s">
        <v>264</v>
      </c>
      <c r="O19" s="10" t="s">
        <v>4</v>
      </c>
      <c r="P19" s="10" t="s">
        <v>265</v>
      </c>
    </row>
    <row r="20" spans="2:16">
      <c r="M20" s="10" t="s">
        <v>990</v>
      </c>
      <c r="N20" s="10">
        <v>11</v>
      </c>
      <c r="O20" s="10">
        <v>35</v>
      </c>
      <c r="P20" s="10">
        <v>10</v>
      </c>
    </row>
    <row r="21" spans="2:16" ht="15.75" thickBot="1">
      <c r="M21" s="10" t="s">
        <v>988</v>
      </c>
      <c r="N21" s="10">
        <v>35</v>
      </c>
      <c r="O21" s="10"/>
      <c r="P21" s="10"/>
    </row>
    <row r="22" spans="2:16" ht="15.75" thickBot="1">
      <c r="B22" s="1944" t="s">
        <v>946</v>
      </c>
      <c r="C22" s="1945"/>
      <c r="D22" s="1945"/>
      <c r="E22" s="1945"/>
      <c r="F22" s="1946"/>
      <c r="G22" s="333"/>
      <c r="M22" s="10" t="s">
        <v>586</v>
      </c>
      <c r="N22" s="10">
        <v>5</v>
      </c>
      <c r="O22" s="10"/>
      <c r="P22" s="10">
        <v>20</v>
      </c>
    </row>
    <row r="23" spans="2:16">
      <c r="B23" s="1952" t="s">
        <v>956</v>
      </c>
      <c r="C23" s="1954" t="s">
        <v>959</v>
      </c>
      <c r="D23" s="1954"/>
      <c r="E23" s="1954" t="s">
        <v>960</v>
      </c>
      <c r="F23" s="1955"/>
      <c r="G23" s="1950" t="s">
        <v>203</v>
      </c>
      <c r="M23" s="10" t="s">
        <v>577</v>
      </c>
      <c r="N23" s="10" t="s">
        <v>555</v>
      </c>
      <c r="O23" s="10">
        <v>90</v>
      </c>
      <c r="P23" s="10"/>
    </row>
    <row r="24" spans="2:16" ht="15.75" thickBot="1">
      <c r="B24" s="1953"/>
      <c r="C24" s="500" t="s">
        <v>962</v>
      </c>
      <c r="D24" s="500" t="s">
        <v>963</v>
      </c>
      <c r="E24" s="500" t="s">
        <v>962</v>
      </c>
      <c r="F24" s="501" t="s">
        <v>963</v>
      </c>
      <c r="G24" s="1951"/>
      <c r="M24" s="10" t="s">
        <v>989</v>
      </c>
      <c r="N24" s="10"/>
      <c r="O24" s="10"/>
      <c r="P24" s="10"/>
    </row>
    <row r="25" spans="2:16">
      <c r="B25" s="497" t="s">
        <v>947</v>
      </c>
      <c r="C25" s="10" t="s">
        <v>265</v>
      </c>
      <c r="D25" s="10"/>
      <c r="E25" s="10" t="s">
        <v>264</v>
      </c>
      <c r="F25" s="12"/>
      <c r="G25" s="505"/>
      <c r="M25" s="516" t="s">
        <v>153</v>
      </c>
    </row>
    <row r="26" spans="2:16">
      <c r="B26" s="497" t="s">
        <v>948</v>
      </c>
      <c r="C26" s="10" t="s">
        <v>265</v>
      </c>
      <c r="D26" s="10"/>
      <c r="E26" s="10" t="s">
        <v>265</v>
      </c>
      <c r="F26" s="12"/>
      <c r="G26" s="506"/>
      <c r="M26" s="10"/>
      <c r="N26" s="10" t="s">
        <v>264</v>
      </c>
      <c r="O26" s="10" t="s">
        <v>4</v>
      </c>
      <c r="P26" s="10" t="s">
        <v>265</v>
      </c>
    </row>
    <row r="27" spans="2:16">
      <c r="B27" s="497" t="s">
        <v>949</v>
      </c>
      <c r="C27" s="10" t="s">
        <v>4</v>
      </c>
      <c r="D27" s="10"/>
      <c r="E27" s="10" t="s">
        <v>265</v>
      </c>
      <c r="F27" s="12"/>
      <c r="G27" s="506"/>
      <c r="M27" s="10" t="s">
        <v>990</v>
      </c>
      <c r="N27" s="10"/>
      <c r="O27" s="10">
        <f>(O6+O13+O20)/3</f>
        <v>35</v>
      </c>
      <c r="P27" s="10" t="s">
        <v>555</v>
      </c>
    </row>
    <row r="28" spans="2:16" ht="15.75" thickBot="1">
      <c r="B28" s="497" t="s">
        <v>951</v>
      </c>
      <c r="C28" s="10" t="s">
        <v>4</v>
      </c>
      <c r="D28" s="10"/>
      <c r="E28" s="10" t="s">
        <v>264</v>
      </c>
      <c r="F28" s="12"/>
      <c r="G28" s="507"/>
      <c r="M28" s="10" t="s">
        <v>988</v>
      </c>
      <c r="N28" s="534">
        <f>(N7+N14+N21)/3</f>
        <v>44.333333333333336</v>
      </c>
      <c r="O28" s="10"/>
      <c r="P28" s="10" t="s">
        <v>555</v>
      </c>
    </row>
    <row r="29" spans="2:16" ht="15.75" thickBot="1">
      <c r="B29" s="498" t="s">
        <v>964</v>
      </c>
      <c r="C29" s="499" t="s">
        <v>4</v>
      </c>
      <c r="D29" s="499"/>
      <c r="E29" s="499" t="s">
        <v>4</v>
      </c>
      <c r="F29" s="504"/>
      <c r="G29" s="503"/>
      <c r="M29" s="10" t="s">
        <v>586</v>
      </c>
      <c r="N29" s="534">
        <f>(N8+N15+N22)/3</f>
        <v>5.666666666666667</v>
      </c>
      <c r="O29" s="10"/>
      <c r="P29" s="10" t="s">
        <v>555</v>
      </c>
    </row>
    <row r="30" spans="2:16" ht="15.75" thickBot="1">
      <c r="M30" s="10" t="s">
        <v>577</v>
      </c>
      <c r="N30" s="10"/>
      <c r="O30" s="534">
        <f>(O9+O16+O23)/3</f>
        <v>76.666666666666671</v>
      </c>
      <c r="P30" s="10" t="s">
        <v>555</v>
      </c>
    </row>
    <row r="31" spans="2:16" ht="15.75" thickBot="1">
      <c r="B31" s="1947" t="s">
        <v>950</v>
      </c>
      <c r="C31" s="1948"/>
      <c r="D31" s="1948"/>
      <c r="E31" s="1948"/>
      <c r="F31" s="1948"/>
      <c r="G31" s="1948"/>
      <c r="H31" s="1949"/>
      <c r="M31" s="10" t="s">
        <v>989</v>
      </c>
      <c r="N31" s="10"/>
      <c r="O31" s="10"/>
      <c r="P31" s="10"/>
    </row>
    <row r="32" spans="2:16">
      <c r="B32" s="1953" t="s">
        <v>956</v>
      </c>
      <c r="C32" s="1956" t="s">
        <v>959</v>
      </c>
      <c r="D32" s="1956"/>
      <c r="E32" s="1957" t="s">
        <v>960</v>
      </c>
      <c r="F32" s="1957"/>
      <c r="G32" s="1957" t="s">
        <v>961</v>
      </c>
      <c r="H32" s="1958"/>
      <c r="I32" s="1942" t="s">
        <v>203</v>
      </c>
    </row>
    <row r="33" spans="2:9" ht="15.75" thickBot="1">
      <c r="B33" s="1953"/>
      <c r="C33" s="500" t="s">
        <v>962</v>
      </c>
      <c r="D33" s="500" t="s">
        <v>963</v>
      </c>
      <c r="E33" s="500" t="s">
        <v>962</v>
      </c>
      <c r="F33" s="500" t="s">
        <v>963</v>
      </c>
      <c r="G33" s="500" t="s">
        <v>962</v>
      </c>
      <c r="H33" s="502" t="s">
        <v>963</v>
      </c>
      <c r="I33" s="1943"/>
    </row>
    <row r="34" spans="2:9">
      <c r="B34" s="497" t="s">
        <v>947</v>
      </c>
      <c r="C34" s="10" t="s">
        <v>265</v>
      </c>
      <c r="D34" s="10"/>
      <c r="E34" s="10" t="s">
        <v>265</v>
      </c>
      <c r="F34" s="10"/>
      <c r="G34" s="10" t="s">
        <v>264</v>
      </c>
      <c r="H34" s="12"/>
      <c r="I34" s="505"/>
    </row>
    <row r="35" spans="2:9">
      <c r="B35" s="497" t="s">
        <v>948</v>
      </c>
      <c r="C35" s="10" t="s">
        <v>955</v>
      </c>
      <c r="D35" s="10"/>
      <c r="E35" s="10" t="s">
        <v>4</v>
      </c>
      <c r="F35" s="10"/>
      <c r="G35" s="10" t="s">
        <v>264</v>
      </c>
      <c r="H35" s="12"/>
      <c r="I35" s="506"/>
    </row>
    <row r="36" spans="2:9" ht="15.75" thickBot="1">
      <c r="B36" s="498" t="s">
        <v>949</v>
      </c>
      <c r="C36" s="499" t="s">
        <v>4</v>
      </c>
      <c r="D36" s="499"/>
      <c r="E36" s="499" t="s">
        <v>4</v>
      </c>
      <c r="F36" s="499"/>
      <c r="G36" s="499" t="s">
        <v>264</v>
      </c>
      <c r="H36" s="504"/>
      <c r="I36" s="507"/>
    </row>
  </sheetData>
  <mergeCells count="22">
    <mergeCell ref="G14:H14"/>
    <mergeCell ref="B31:H31"/>
    <mergeCell ref="B32:B33"/>
    <mergeCell ref="C32:D32"/>
    <mergeCell ref="E32:F32"/>
    <mergeCell ref="G32:H32"/>
    <mergeCell ref="I32:I33"/>
    <mergeCell ref="B4:F4"/>
    <mergeCell ref="B13:H13"/>
    <mergeCell ref="I14:I15"/>
    <mergeCell ref="G5:G6"/>
    <mergeCell ref="B22:F22"/>
    <mergeCell ref="B23:B24"/>
    <mergeCell ref="C23:D23"/>
    <mergeCell ref="E23:F23"/>
    <mergeCell ref="G23:G24"/>
    <mergeCell ref="C5:D5"/>
    <mergeCell ref="B5:B6"/>
    <mergeCell ref="C14:D14"/>
    <mergeCell ref="B14:B15"/>
    <mergeCell ref="E5:F5"/>
    <mergeCell ref="E14:F14"/>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E26"/>
  <sheetViews>
    <sheetView workbookViewId="0">
      <selection activeCell="C10" sqref="C10"/>
    </sheetView>
  </sheetViews>
  <sheetFormatPr defaultRowHeight="15"/>
  <cols>
    <col min="2" max="4" width="34.28515625" customWidth="1"/>
    <col min="5" max="5" width="15.28515625" customWidth="1"/>
  </cols>
  <sheetData>
    <row r="4" spans="2:5">
      <c r="B4" s="2" t="s">
        <v>62</v>
      </c>
      <c r="C4" s="3" t="s">
        <v>63</v>
      </c>
      <c r="D4" s="2" t="s">
        <v>64</v>
      </c>
      <c r="E4" s="4"/>
    </row>
    <row r="5" spans="2:5">
      <c r="B5" s="4"/>
      <c r="C5" s="3" t="s">
        <v>65</v>
      </c>
      <c r="D5" s="2" t="s">
        <v>64</v>
      </c>
      <c r="E5" s="4"/>
    </row>
    <row r="6" spans="2:5">
      <c r="B6" s="4"/>
      <c r="C6" s="3" t="s">
        <v>66</v>
      </c>
      <c r="D6" s="2" t="s">
        <v>64</v>
      </c>
      <c r="E6" s="4"/>
    </row>
    <row r="7" spans="2:5">
      <c r="B7" s="4"/>
      <c r="C7" s="3" t="s">
        <v>67</v>
      </c>
      <c r="D7" s="2" t="s">
        <v>64</v>
      </c>
      <c r="E7" s="4"/>
    </row>
    <row r="8" spans="2:5" ht="22.5">
      <c r="B8" s="4"/>
      <c r="C8" s="3" t="s">
        <v>68</v>
      </c>
      <c r="D8" s="2" t="s">
        <v>64</v>
      </c>
      <c r="E8" s="4"/>
    </row>
    <row r="9" spans="2:5" ht="22.5">
      <c r="B9" s="4"/>
      <c r="C9" s="3" t="s">
        <v>69</v>
      </c>
      <c r="D9" s="2" t="s">
        <v>70</v>
      </c>
      <c r="E9" s="4"/>
    </row>
    <row r="10" spans="2:5">
      <c r="B10" s="2" t="s">
        <v>71</v>
      </c>
      <c r="C10" s="5" t="s">
        <v>72</v>
      </c>
      <c r="D10" s="2" t="s">
        <v>73</v>
      </c>
      <c r="E10" s="2" t="s">
        <v>74</v>
      </c>
    </row>
    <row r="11" spans="2:5">
      <c r="B11" s="4"/>
      <c r="C11" s="3" t="s">
        <v>66</v>
      </c>
      <c r="D11" s="2" t="s">
        <v>64</v>
      </c>
      <c r="E11" s="4"/>
    </row>
    <row r="12" spans="2:5" ht="22.5">
      <c r="B12" s="4"/>
      <c r="C12" s="3" t="s">
        <v>68</v>
      </c>
      <c r="D12" s="2" t="s">
        <v>64</v>
      </c>
      <c r="E12" s="4"/>
    </row>
    <row r="13" spans="2:5">
      <c r="B13" s="2" t="s">
        <v>75</v>
      </c>
      <c r="C13" s="5" t="s">
        <v>76</v>
      </c>
      <c r="D13" s="2" t="s">
        <v>73</v>
      </c>
      <c r="E13" s="2" t="s">
        <v>74</v>
      </c>
    </row>
    <row r="14" spans="2:5" ht="22.5">
      <c r="B14" s="2"/>
      <c r="C14" s="3" t="s">
        <v>68</v>
      </c>
      <c r="D14" s="2" t="s">
        <v>64</v>
      </c>
      <c r="E14" s="4"/>
    </row>
    <row r="15" spans="2:5" ht="22.5">
      <c r="B15" s="4"/>
      <c r="C15" s="3" t="s">
        <v>69</v>
      </c>
      <c r="D15" s="2" t="s">
        <v>70</v>
      </c>
      <c r="E15" s="4"/>
    </row>
    <row r="16" spans="2:5">
      <c r="B16" s="2" t="s">
        <v>77</v>
      </c>
      <c r="C16" s="5" t="s">
        <v>78</v>
      </c>
      <c r="D16" s="4"/>
      <c r="E16" s="2" t="s">
        <v>74</v>
      </c>
    </row>
    <row r="17" spans="2:5">
      <c r="B17" s="4"/>
      <c r="C17" s="3" t="s">
        <v>66</v>
      </c>
      <c r="D17" s="2" t="s">
        <v>64</v>
      </c>
      <c r="E17" s="4"/>
    </row>
    <row r="18" spans="2:5" ht="22.5">
      <c r="B18" s="4"/>
      <c r="C18" s="3" t="s">
        <v>68</v>
      </c>
      <c r="D18" s="2" t="s">
        <v>64</v>
      </c>
      <c r="E18" s="4"/>
    </row>
    <row r="19" spans="2:5">
      <c r="B19" s="2" t="s">
        <v>79</v>
      </c>
      <c r="C19" s="5" t="s">
        <v>78</v>
      </c>
      <c r="D19" s="2" t="s">
        <v>74</v>
      </c>
      <c r="E19" s="4"/>
    </row>
    <row r="20" spans="2:5">
      <c r="B20" s="4"/>
      <c r="C20" s="3" t="s">
        <v>66</v>
      </c>
      <c r="D20" s="2" t="s">
        <v>64</v>
      </c>
      <c r="E20" s="4"/>
    </row>
    <row r="21" spans="2:5" ht="22.5">
      <c r="B21" s="4"/>
      <c r="C21" s="3" t="s">
        <v>68</v>
      </c>
      <c r="D21" s="2" t="s">
        <v>64</v>
      </c>
      <c r="E21" s="2" t="s">
        <v>74</v>
      </c>
    </row>
    <row r="22" spans="2:5">
      <c r="B22" s="2" t="s">
        <v>80</v>
      </c>
      <c r="C22" s="5" t="s">
        <v>81</v>
      </c>
      <c r="D22" s="2" t="s">
        <v>64</v>
      </c>
      <c r="E22" s="2" t="s">
        <v>82</v>
      </c>
    </row>
    <row r="23" spans="2:5">
      <c r="B23" s="4"/>
      <c r="C23" s="5" t="s">
        <v>83</v>
      </c>
      <c r="D23" s="2" t="s">
        <v>64</v>
      </c>
      <c r="E23" s="2" t="s">
        <v>82</v>
      </c>
    </row>
    <row r="24" spans="2:5" ht="22.5">
      <c r="B24" s="4"/>
      <c r="C24" s="3" t="s">
        <v>84</v>
      </c>
      <c r="D24" s="6" t="s">
        <v>85</v>
      </c>
      <c r="E24" s="2" t="s">
        <v>86</v>
      </c>
    </row>
    <row r="25" spans="2:5" ht="22.5">
      <c r="B25" s="4"/>
      <c r="C25" s="3" t="s">
        <v>87</v>
      </c>
      <c r="D25" s="6" t="s">
        <v>85</v>
      </c>
      <c r="E25" s="2" t="s">
        <v>86</v>
      </c>
    </row>
    <row r="26" spans="2:5" ht="23.25">
      <c r="B26" s="4" t="s">
        <v>88</v>
      </c>
      <c r="C26" s="4"/>
      <c r="D26" s="7" t="s">
        <v>89</v>
      </c>
      <c r="E26" s="4" t="s">
        <v>90</v>
      </c>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91"/>
  <sheetViews>
    <sheetView showGridLines="0" zoomScale="86" zoomScaleNormal="86" workbookViewId="0">
      <selection activeCell="A3" sqref="A3:XFD76"/>
    </sheetView>
  </sheetViews>
  <sheetFormatPr defaultRowHeight="15"/>
  <cols>
    <col min="2" max="2" width="30.5703125" customWidth="1"/>
    <col min="3" max="4" width="12.42578125" customWidth="1"/>
    <col min="5" max="5" width="35.140625" customWidth="1"/>
    <col min="6" max="8" width="19.42578125" customWidth="1"/>
    <col min="9" max="9" width="20" customWidth="1"/>
    <col min="10" max="10" width="22.140625" customWidth="1"/>
    <col min="11" max="11" width="28.5703125" customWidth="1"/>
    <col min="12" max="12" width="29.7109375" customWidth="1"/>
    <col min="13" max="14" width="27.28515625" customWidth="1"/>
    <col min="15" max="15" width="27.7109375" customWidth="1"/>
    <col min="16" max="16" width="28" customWidth="1"/>
  </cols>
  <sheetData>
    <row r="1" spans="2:16">
      <c r="B1" t="s">
        <v>829</v>
      </c>
      <c r="C1" s="1"/>
      <c r="D1" s="1"/>
    </row>
    <row r="2" spans="2:16">
      <c r="B2" s="8" t="s">
        <v>214</v>
      </c>
      <c r="C2" s="9" t="s">
        <v>12</v>
      </c>
      <c r="D2" s="9" t="s">
        <v>13</v>
      </c>
      <c r="E2" s="9" t="s">
        <v>207</v>
      </c>
      <c r="F2" s="9" t="s">
        <v>830</v>
      </c>
      <c r="G2" s="9" t="s">
        <v>832</v>
      </c>
      <c r="H2" s="9" t="s">
        <v>833</v>
      </c>
      <c r="I2" s="9" t="s">
        <v>104</v>
      </c>
      <c r="J2" s="9" t="s">
        <v>105</v>
      </c>
      <c r="K2" s="9" t="s">
        <v>71</v>
      </c>
      <c r="L2" s="9" t="s">
        <v>75</v>
      </c>
      <c r="M2" s="9" t="s">
        <v>77</v>
      </c>
      <c r="N2" s="9" t="s">
        <v>79</v>
      </c>
      <c r="O2" s="9" t="s">
        <v>106</v>
      </c>
      <c r="P2" s="9" t="s">
        <v>107</v>
      </c>
    </row>
    <row r="3" spans="2:16">
      <c r="B3" s="308" t="s">
        <v>758</v>
      </c>
      <c r="C3" s="308" t="s">
        <v>41</v>
      </c>
      <c r="D3" s="308" t="s">
        <v>23</v>
      </c>
      <c r="E3" s="309" t="s">
        <v>24</v>
      </c>
      <c r="F3" s="10">
        <v>1</v>
      </c>
      <c r="G3" s="10"/>
      <c r="H3" s="10"/>
      <c r="I3" s="10"/>
      <c r="J3" s="10"/>
      <c r="K3" s="10"/>
      <c r="L3" s="10"/>
      <c r="M3" s="11"/>
      <c r="N3" s="11"/>
      <c r="O3" s="10"/>
      <c r="P3" s="12"/>
    </row>
    <row r="4" spans="2:16">
      <c r="B4" s="308" t="s">
        <v>40</v>
      </c>
      <c r="C4" s="308" t="s">
        <v>41</v>
      </c>
      <c r="D4" s="308" t="s">
        <v>30</v>
      </c>
      <c r="E4" s="309" t="s">
        <v>99</v>
      </c>
      <c r="F4" s="306">
        <v>88</v>
      </c>
      <c r="G4" s="10"/>
      <c r="H4" s="10"/>
      <c r="I4" s="10"/>
      <c r="J4" s="10"/>
      <c r="K4" s="10"/>
      <c r="L4" s="10"/>
      <c r="M4" s="10"/>
      <c r="N4" s="10"/>
      <c r="O4" s="10"/>
      <c r="P4" s="12"/>
    </row>
    <row r="5" spans="2:16">
      <c r="B5" s="308" t="s">
        <v>59</v>
      </c>
      <c r="C5" s="308" t="s">
        <v>41</v>
      </c>
      <c r="D5" s="308" t="s">
        <v>34</v>
      </c>
      <c r="E5" s="309" t="s">
        <v>36</v>
      </c>
      <c r="F5" s="306">
        <v>9</v>
      </c>
      <c r="G5" s="10"/>
      <c r="H5" s="10"/>
      <c r="I5" s="10"/>
      <c r="J5" s="10"/>
      <c r="K5" s="10"/>
      <c r="L5" s="10"/>
      <c r="M5" s="10"/>
      <c r="N5" s="10"/>
      <c r="O5" s="10"/>
      <c r="P5" s="12"/>
    </row>
    <row r="6" spans="2:16">
      <c r="B6" s="308" t="s">
        <v>759</v>
      </c>
      <c r="C6" s="308" t="s">
        <v>41</v>
      </c>
      <c r="D6" s="308" t="s">
        <v>23</v>
      </c>
      <c r="E6" s="309" t="s">
        <v>24</v>
      </c>
      <c r="F6" s="306">
        <v>0</v>
      </c>
      <c r="G6" s="10"/>
      <c r="H6" s="10"/>
      <c r="I6" s="10"/>
      <c r="J6" s="10"/>
      <c r="K6" s="10"/>
      <c r="L6" s="10"/>
      <c r="M6" s="10"/>
      <c r="N6" s="10"/>
      <c r="O6" s="10"/>
      <c r="P6" s="12"/>
    </row>
    <row r="7" spans="2:16">
      <c r="B7" s="308" t="s">
        <v>43</v>
      </c>
      <c r="C7" s="308" t="s">
        <v>41</v>
      </c>
      <c r="D7" s="308" t="s">
        <v>18</v>
      </c>
      <c r="E7" s="309" t="s">
        <v>807</v>
      </c>
      <c r="F7" s="307">
        <v>908</v>
      </c>
      <c r="G7" s="10"/>
      <c r="H7" s="10"/>
      <c r="I7" s="10"/>
      <c r="J7" s="10"/>
      <c r="K7" s="10"/>
      <c r="L7" s="10"/>
      <c r="M7" s="10"/>
      <c r="N7" s="10"/>
      <c r="O7" s="10"/>
      <c r="P7" s="12"/>
    </row>
    <row r="8" spans="2:16">
      <c r="B8" s="308" t="s">
        <v>760</v>
      </c>
      <c r="C8" s="308" t="s">
        <v>41</v>
      </c>
      <c r="D8" s="308" t="s">
        <v>30</v>
      </c>
      <c r="E8" s="309" t="s">
        <v>32</v>
      </c>
      <c r="F8" s="306">
        <v>5</v>
      </c>
      <c r="G8" s="10"/>
      <c r="H8" s="10"/>
      <c r="I8" s="10"/>
      <c r="J8" s="10"/>
      <c r="K8" s="10"/>
      <c r="L8" s="10"/>
      <c r="M8" s="11"/>
      <c r="N8" s="11"/>
      <c r="O8" s="10"/>
      <c r="P8" s="12"/>
    </row>
    <row r="9" spans="2:16">
      <c r="B9" s="308" t="s">
        <v>761</v>
      </c>
      <c r="C9" s="308" t="s">
        <v>41</v>
      </c>
      <c r="D9" s="308" t="s">
        <v>26</v>
      </c>
      <c r="E9" s="309" t="s">
        <v>808</v>
      </c>
      <c r="F9" s="10">
        <v>8</v>
      </c>
      <c r="G9" s="10"/>
      <c r="H9" s="10"/>
      <c r="I9" s="10"/>
      <c r="J9" s="10"/>
      <c r="K9" s="10"/>
      <c r="L9" s="10"/>
      <c r="M9" s="10"/>
      <c r="N9" s="10"/>
      <c r="O9" s="10"/>
      <c r="P9" s="12"/>
    </row>
    <row r="10" spans="2:16">
      <c r="B10" s="308" t="s">
        <v>762</v>
      </c>
      <c r="C10" s="308" t="s">
        <v>41</v>
      </c>
      <c r="D10" s="308" t="s">
        <v>26</v>
      </c>
      <c r="E10" s="309" t="s">
        <v>809</v>
      </c>
      <c r="F10" s="10">
        <v>5</v>
      </c>
      <c r="G10" s="10"/>
      <c r="H10" s="10"/>
      <c r="I10" s="10"/>
      <c r="J10" s="10"/>
      <c r="K10" s="10"/>
      <c r="L10" s="10"/>
      <c r="M10" s="10"/>
      <c r="N10" s="10"/>
      <c r="O10" s="10"/>
      <c r="P10" s="12"/>
    </row>
    <row r="11" spans="2:16">
      <c r="B11" s="308" t="s">
        <v>763</v>
      </c>
      <c r="C11" s="308" t="s">
        <v>41</v>
      </c>
      <c r="D11" s="308" t="s">
        <v>20</v>
      </c>
      <c r="E11" s="309" t="s">
        <v>810</v>
      </c>
      <c r="F11" s="10">
        <v>2</v>
      </c>
      <c r="G11" s="10"/>
      <c r="H11" s="10"/>
      <c r="I11" s="10"/>
      <c r="J11" s="10"/>
      <c r="K11" s="10"/>
      <c r="L11" s="10"/>
      <c r="M11" s="11"/>
      <c r="N11" s="11"/>
      <c r="O11" s="10"/>
      <c r="P11" s="12"/>
    </row>
    <row r="12" spans="2:16">
      <c r="B12" s="308" t="s">
        <v>764</v>
      </c>
      <c r="C12" s="308" t="s">
        <v>41</v>
      </c>
      <c r="D12" s="308" t="s">
        <v>20</v>
      </c>
      <c r="E12" s="309" t="s">
        <v>810</v>
      </c>
      <c r="F12" s="10">
        <v>2</v>
      </c>
      <c r="G12" s="10"/>
      <c r="H12" s="10"/>
      <c r="I12" s="10"/>
      <c r="J12" s="10"/>
      <c r="K12" s="10"/>
      <c r="L12" s="10"/>
      <c r="M12" s="11"/>
      <c r="N12" s="11"/>
      <c r="O12" s="10"/>
      <c r="P12" s="12"/>
    </row>
    <row r="13" spans="2:16">
      <c r="B13" s="308" t="s">
        <v>765</v>
      </c>
      <c r="C13" s="308" t="s">
        <v>41</v>
      </c>
      <c r="D13" s="308" t="s">
        <v>23</v>
      </c>
      <c r="E13" s="309" t="s">
        <v>811</v>
      </c>
      <c r="F13" s="10">
        <v>4</v>
      </c>
      <c r="G13" s="10"/>
      <c r="H13" s="10"/>
      <c r="I13" s="10"/>
      <c r="J13" s="10"/>
      <c r="K13" s="10"/>
      <c r="L13" s="10"/>
      <c r="M13" s="11"/>
      <c r="N13" s="11"/>
      <c r="O13" s="10"/>
      <c r="P13" s="12"/>
    </row>
    <row r="14" spans="2:16">
      <c r="B14" s="308" t="s">
        <v>766</v>
      </c>
      <c r="C14" s="308" t="s">
        <v>41</v>
      </c>
      <c r="D14" s="308" t="s">
        <v>20</v>
      </c>
      <c r="E14" s="309" t="s">
        <v>21</v>
      </c>
      <c r="F14" s="10">
        <v>3</v>
      </c>
      <c r="G14" s="10"/>
      <c r="H14" s="10"/>
      <c r="I14" s="10"/>
      <c r="J14" s="10"/>
      <c r="K14" s="10"/>
      <c r="L14" s="10"/>
      <c r="M14" s="11"/>
      <c r="N14" s="11"/>
      <c r="O14" s="10"/>
      <c r="P14" s="12"/>
    </row>
    <row r="15" spans="2:16">
      <c r="B15" s="308" t="s">
        <v>767</v>
      </c>
      <c r="C15" s="308" t="s">
        <v>41</v>
      </c>
      <c r="D15" s="308" t="s">
        <v>30</v>
      </c>
      <c r="E15" s="309" t="s">
        <v>812</v>
      </c>
      <c r="F15" s="10">
        <v>3</v>
      </c>
      <c r="G15" s="10"/>
      <c r="H15" s="10"/>
      <c r="I15" s="10"/>
      <c r="J15" s="10"/>
      <c r="K15" s="10"/>
      <c r="L15" s="10"/>
      <c r="M15" s="10"/>
      <c r="N15" s="10"/>
      <c r="O15" s="10"/>
      <c r="P15" s="12"/>
    </row>
    <row r="16" spans="2:16">
      <c r="B16" s="308" t="s">
        <v>768</v>
      </c>
      <c r="C16" s="308" t="s">
        <v>41</v>
      </c>
      <c r="D16" s="308" t="s">
        <v>34</v>
      </c>
      <c r="E16" s="309" t="s">
        <v>813</v>
      </c>
      <c r="F16" s="10">
        <v>12</v>
      </c>
      <c r="G16" s="10"/>
      <c r="H16" s="10"/>
      <c r="I16" s="10"/>
      <c r="J16" s="10"/>
      <c r="K16" s="10"/>
      <c r="L16" s="10"/>
      <c r="M16" s="11"/>
      <c r="N16" s="11"/>
      <c r="O16" s="10"/>
      <c r="P16" s="12"/>
    </row>
    <row r="17" spans="2:16">
      <c r="B17" s="308" t="s">
        <v>769</v>
      </c>
      <c r="C17" s="308" t="s">
        <v>41</v>
      </c>
      <c r="D17" s="308" t="s">
        <v>34</v>
      </c>
      <c r="E17" s="309" t="s">
        <v>35</v>
      </c>
      <c r="F17" s="10">
        <v>1</v>
      </c>
      <c r="G17" s="10"/>
      <c r="H17" s="10"/>
      <c r="I17" s="10"/>
      <c r="J17" s="10"/>
      <c r="K17" s="10"/>
      <c r="L17" s="10"/>
      <c r="M17" s="10"/>
      <c r="N17" s="10"/>
      <c r="O17" s="10"/>
      <c r="P17" s="12"/>
    </row>
    <row r="18" spans="2:16">
      <c r="B18" s="308" t="s">
        <v>770</v>
      </c>
      <c r="C18" s="308" t="s">
        <v>41</v>
      </c>
      <c r="D18" s="308" t="s">
        <v>28</v>
      </c>
      <c r="E18" s="309" t="s">
        <v>814</v>
      </c>
      <c r="F18" s="10">
        <v>4</v>
      </c>
      <c r="G18" s="10"/>
      <c r="H18" s="10"/>
      <c r="I18" s="10"/>
      <c r="J18" s="10"/>
      <c r="K18" s="10"/>
      <c r="L18" s="10"/>
      <c r="M18" s="10"/>
      <c r="N18" s="10"/>
      <c r="O18" s="10"/>
      <c r="P18" s="12"/>
    </row>
    <row r="19" spans="2:16">
      <c r="B19" s="308" t="s">
        <v>44</v>
      </c>
      <c r="C19" s="308" t="s">
        <v>41</v>
      </c>
      <c r="D19" s="308" t="s">
        <v>38</v>
      </c>
      <c r="E19" s="309" t="s">
        <v>815</v>
      </c>
      <c r="F19" s="10">
        <v>320</v>
      </c>
      <c r="G19" s="10"/>
      <c r="H19" s="10"/>
      <c r="I19" s="10"/>
      <c r="J19" s="10"/>
      <c r="K19" s="10"/>
      <c r="L19" s="10"/>
      <c r="M19" s="10"/>
      <c r="N19" s="10"/>
      <c r="O19" s="10"/>
      <c r="P19" s="12"/>
    </row>
    <row r="20" spans="2:16">
      <c r="B20" s="308" t="s">
        <v>771</v>
      </c>
      <c r="C20" s="308" t="s">
        <v>41</v>
      </c>
      <c r="D20" s="308" t="s">
        <v>26</v>
      </c>
      <c r="E20" s="309" t="s">
        <v>808</v>
      </c>
      <c r="F20" s="10">
        <v>0</v>
      </c>
      <c r="G20" s="10"/>
      <c r="H20" s="10"/>
      <c r="I20" s="10"/>
      <c r="J20" s="10"/>
      <c r="K20" s="10"/>
      <c r="L20" s="10"/>
      <c r="M20" s="11"/>
      <c r="N20" s="11"/>
      <c r="O20" s="10"/>
      <c r="P20" s="12"/>
    </row>
    <row r="21" spans="2:16">
      <c r="B21" s="308" t="s">
        <v>772</v>
      </c>
      <c r="C21" s="308" t="s">
        <v>41</v>
      </c>
      <c r="D21" s="308" t="s">
        <v>28</v>
      </c>
      <c r="E21" s="309" t="s">
        <v>814</v>
      </c>
      <c r="F21" s="10">
        <v>8</v>
      </c>
      <c r="G21" s="10"/>
      <c r="H21" s="10"/>
      <c r="I21" s="10"/>
      <c r="J21" s="10"/>
      <c r="K21" s="10"/>
      <c r="L21" s="10"/>
      <c r="M21" s="11"/>
      <c r="N21" s="11"/>
      <c r="O21" s="10"/>
      <c r="P21" s="12"/>
    </row>
    <row r="22" spans="2:16">
      <c r="B22" s="308" t="s">
        <v>773</v>
      </c>
      <c r="C22" s="308" t="s">
        <v>41</v>
      </c>
      <c r="D22" s="308" t="s">
        <v>34</v>
      </c>
      <c r="E22" s="309" t="s">
        <v>35</v>
      </c>
      <c r="F22" s="10">
        <v>1</v>
      </c>
      <c r="G22" s="10"/>
      <c r="H22" s="10"/>
      <c r="I22" s="10"/>
      <c r="J22" s="10"/>
      <c r="K22" s="10"/>
      <c r="L22" s="10"/>
      <c r="M22" s="11"/>
      <c r="N22" s="11"/>
      <c r="O22" s="10"/>
      <c r="P22" s="12"/>
    </row>
    <row r="23" spans="2:16">
      <c r="B23" s="308" t="s">
        <v>774</v>
      </c>
      <c r="C23" s="308" t="s">
        <v>41</v>
      </c>
      <c r="D23" s="308" t="s">
        <v>26</v>
      </c>
      <c r="E23" s="309" t="s">
        <v>809</v>
      </c>
      <c r="F23" s="10">
        <v>11</v>
      </c>
      <c r="G23" s="10"/>
      <c r="H23" s="10"/>
      <c r="I23" s="10"/>
      <c r="J23" s="10"/>
      <c r="K23" s="10"/>
      <c r="L23" s="10"/>
      <c r="M23" s="11"/>
      <c r="N23" s="11"/>
      <c r="O23" s="10"/>
      <c r="P23" s="12"/>
    </row>
    <row r="24" spans="2:16">
      <c r="B24" s="308" t="s">
        <v>57</v>
      </c>
      <c r="C24" s="308" t="s">
        <v>41</v>
      </c>
      <c r="D24" s="308" t="s">
        <v>30</v>
      </c>
      <c r="E24" s="309" t="s">
        <v>31</v>
      </c>
      <c r="F24" s="10">
        <v>6</v>
      </c>
      <c r="G24" s="10"/>
      <c r="H24" s="10"/>
      <c r="I24" s="10"/>
      <c r="J24" s="10"/>
      <c r="K24" s="10"/>
      <c r="L24" s="10"/>
      <c r="M24" s="11"/>
      <c r="N24" s="11"/>
      <c r="O24" s="10"/>
      <c r="P24" s="12"/>
    </row>
    <row r="25" spans="2:16">
      <c r="B25" s="308" t="s">
        <v>775</v>
      </c>
      <c r="C25" s="308" t="s">
        <v>41</v>
      </c>
      <c r="D25" s="308" t="s">
        <v>18</v>
      </c>
      <c r="E25" s="309" t="s">
        <v>816</v>
      </c>
      <c r="F25" s="10">
        <v>4</v>
      </c>
      <c r="G25" s="10"/>
      <c r="H25" s="10"/>
      <c r="I25" s="10"/>
      <c r="J25" s="10"/>
      <c r="K25" s="10"/>
      <c r="L25" s="10"/>
      <c r="M25" s="11"/>
      <c r="N25" s="11"/>
      <c r="O25" s="10"/>
      <c r="P25" s="12"/>
    </row>
    <row r="26" spans="2:16">
      <c r="B26" s="308" t="s">
        <v>776</v>
      </c>
      <c r="C26" s="308" t="s">
        <v>41</v>
      </c>
      <c r="D26" s="308" t="s">
        <v>34</v>
      </c>
      <c r="E26" s="310" t="s">
        <v>817</v>
      </c>
      <c r="F26" s="10">
        <v>0</v>
      </c>
      <c r="G26" s="10"/>
      <c r="H26" s="13"/>
      <c r="I26" s="13"/>
      <c r="J26" s="13"/>
      <c r="K26" s="13"/>
      <c r="L26" s="13"/>
      <c r="M26" s="14"/>
      <c r="N26" s="14"/>
      <c r="O26" s="13"/>
      <c r="P26" s="15"/>
    </row>
    <row r="27" spans="2:16">
      <c r="B27" s="308" t="s">
        <v>55</v>
      </c>
      <c r="C27" s="308" t="s">
        <v>41</v>
      </c>
      <c r="D27" s="308" t="s">
        <v>26</v>
      </c>
      <c r="E27" s="310" t="s">
        <v>56</v>
      </c>
      <c r="F27" s="10">
        <v>35</v>
      </c>
      <c r="G27" s="10"/>
      <c r="H27" s="13"/>
      <c r="I27" s="13"/>
      <c r="J27" s="13"/>
      <c r="K27" s="13"/>
      <c r="L27" s="13"/>
      <c r="M27" s="14"/>
      <c r="N27" s="14"/>
      <c r="O27" s="13"/>
      <c r="P27" s="15"/>
    </row>
    <row r="28" spans="2:16">
      <c r="B28" s="308" t="s">
        <v>777</v>
      </c>
      <c r="C28" s="308" t="s">
        <v>41</v>
      </c>
      <c r="D28" s="308" t="s">
        <v>38</v>
      </c>
      <c r="E28" s="309" t="s">
        <v>813</v>
      </c>
      <c r="F28" s="10">
        <v>18</v>
      </c>
      <c r="G28" s="10"/>
      <c r="H28" s="10"/>
      <c r="I28" s="10"/>
      <c r="J28" s="10"/>
      <c r="K28" s="10"/>
      <c r="L28" s="10"/>
      <c r="M28" s="11"/>
      <c r="N28" s="11"/>
      <c r="O28" s="10"/>
      <c r="P28" s="12"/>
    </row>
    <row r="29" spans="2:16">
      <c r="B29" s="308" t="s">
        <v>45</v>
      </c>
      <c r="C29" s="308" t="s">
        <v>41</v>
      </c>
      <c r="D29" s="308" t="s">
        <v>28</v>
      </c>
      <c r="E29" s="309" t="s">
        <v>46</v>
      </c>
      <c r="F29" s="10">
        <v>80</v>
      </c>
      <c r="G29" s="10"/>
      <c r="H29" s="10"/>
      <c r="I29" s="10"/>
      <c r="J29" s="10"/>
      <c r="K29" s="10"/>
      <c r="L29" s="10"/>
      <c r="M29" s="10"/>
      <c r="N29" s="10"/>
      <c r="O29" s="10"/>
      <c r="P29" s="12"/>
    </row>
    <row r="30" spans="2:16">
      <c r="B30" s="308" t="s">
        <v>778</v>
      </c>
      <c r="C30" s="308" t="s">
        <v>41</v>
      </c>
      <c r="D30" s="308" t="s">
        <v>23</v>
      </c>
      <c r="E30" s="309" t="s">
        <v>818</v>
      </c>
      <c r="F30" s="10">
        <v>0</v>
      </c>
      <c r="G30" s="10"/>
      <c r="H30" s="10"/>
      <c r="I30" s="10"/>
      <c r="J30" s="10"/>
      <c r="K30" s="10"/>
      <c r="L30" s="10"/>
      <c r="M30" s="10"/>
      <c r="N30" s="10"/>
      <c r="O30" s="10"/>
      <c r="P30" s="12"/>
    </row>
    <row r="31" spans="2:16">
      <c r="B31" s="308" t="s">
        <v>779</v>
      </c>
      <c r="C31" s="308" t="s">
        <v>41</v>
      </c>
      <c r="D31" s="308" t="s">
        <v>28</v>
      </c>
      <c r="E31" s="309" t="s">
        <v>814</v>
      </c>
      <c r="F31" s="10">
        <v>7</v>
      </c>
      <c r="G31" s="10"/>
      <c r="H31" s="10"/>
      <c r="I31" s="10"/>
      <c r="J31" s="10"/>
      <c r="K31" s="10"/>
      <c r="L31" s="10"/>
      <c r="M31" s="10"/>
      <c r="N31" s="10"/>
      <c r="O31" s="10"/>
      <c r="P31" s="12"/>
    </row>
    <row r="32" spans="2:16">
      <c r="B32" s="308" t="s">
        <v>780</v>
      </c>
      <c r="C32" s="308" t="s">
        <v>41</v>
      </c>
      <c r="D32" s="308" t="s">
        <v>23</v>
      </c>
      <c r="E32" s="309" t="s">
        <v>24</v>
      </c>
      <c r="F32" s="10">
        <v>4</v>
      </c>
      <c r="G32" s="10"/>
      <c r="H32" s="10"/>
      <c r="I32" s="10"/>
      <c r="J32" s="10"/>
      <c r="K32" s="10"/>
      <c r="L32" s="10"/>
      <c r="M32" s="10"/>
      <c r="N32" s="10"/>
      <c r="O32" s="10"/>
      <c r="P32" s="12"/>
    </row>
    <row r="33" spans="2:16">
      <c r="B33" s="308" t="s">
        <v>781</v>
      </c>
      <c r="C33" s="308" t="s">
        <v>41</v>
      </c>
      <c r="D33" s="308" t="s">
        <v>18</v>
      </c>
      <c r="E33" s="309" t="s">
        <v>819</v>
      </c>
      <c r="F33" s="10">
        <v>1</v>
      </c>
      <c r="G33" s="10"/>
      <c r="H33" s="10"/>
      <c r="I33" s="10"/>
      <c r="J33" s="10"/>
      <c r="K33" s="10"/>
      <c r="L33" s="10"/>
      <c r="M33" s="10"/>
      <c r="N33" s="10"/>
      <c r="O33" s="10"/>
      <c r="P33" s="12"/>
    </row>
    <row r="34" spans="2:16">
      <c r="B34" s="308" t="s">
        <v>782</v>
      </c>
      <c r="C34" s="308" t="s">
        <v>41</v>
      </c>
      <c r="D34" s="308" t="s">
        <v>20</v>
      </c>
      <c r="E34" s="309" t="s">
        <v>21</v>
      </c>
      <c r="F34" s="10">
        <v>8</v>
      </c>
      <c r="G34" s="10"/>
      <c r="H34" s="10"/>
      <c r="I34" s="10"/>
      <c r="J34" s="10"/>
      <c r="K34" s="10"/>
      <c r="L34" s="10"/>
      <c r="M34" s="10"/>
      <c r="N34" s="10"/>
      <c r="O34" s="10"/>
      <c r="P34" s="12"/>
    </row>
    <row r="35" spans="2:16">
      <c r="B35" s="308" t="s">
        <v>48</v>
      </c>
      <c r="C35" s="308" t="s">
        <v>41</v>
      </c>
      <c r="D35" s="308" t="s">
        <v>34</v>
      </c>
      <c r="E35" s="309" t="s">
        <v>35</v>
      </c>
      <c r="F35" s="10">
        <v>27</v>
      </c>
      <c r="G35" s="10"/>
      <c r="H35" s="10"/>
      <c r="I35" s="10"/>
      <c r="J35" s="10"/>
      <c r="K35" s="10"/>
      <c r="L35" s="10"/>
      <c r="M35" s="10"/>
      <c r="N35" s="10"/>
      <c r="O35" s="10"/>
      <c r="P35" s="12"/>
    </row>
    <row r="36" spans="2:16">
      <c r="B36" s="308" t="s">
        <v>50</v>
      </c>
      <c r="C36" s="308" t="s">
        <v>41</v>
      </c>
      <c r="D36" s="308" t="s">
        <v>23</v>
      </c>
      <c r="E36" s="309" t="s">
        <v>51</v>
      </c>
      <c r="F36" s="10">
        <v>23</v>
      </c>
      <c r="G36" s="10"/>
      <c r="H36" s="10"/>
      <c r="I36" s="10"/>
      <c r="J36" s="10"/>
      <c r="K36" s="10"/>
      <c r="L36" s="10"/>
      <c r="M36" s="11"/>
      <c r="N36" s="11"/>
      <c r="O36" s="10"/>
      <c r="P36" s="12"/>
    </row>
    <row r="37" spans="2:16">
      <c r="B37" s="308" t="s">
        <v>47</v>
      </c>
      <c r="C37" s="308" t="s">
        <v>41</v>
      </c>
      <c r="D37" s="308" t="s">
        <v>34</v>
      </c>
      <c r="E37" s="309" t="s">
        <v>817</v>
      </c>
      <c r="F37" s="10">
        <v>105</v>
      </c>
      <c r="G37" s="10"/>
      <c r="H37" s="10"/>
      <c r="I37" s="10"/>
      <c r="J37" s="10"/>
      <c r="K37" s="10"/>
      <c r="L37" s="10"/>
      <c r="M37" s="10"/>
      <c r="N37" s="10"/>
      <c r="O37" s="10"/>
      <c r="P37" s="12"/>
    </row>
    <row r="38" spans="2:16">
      <c r="B38" s="308" t="s">
        <v>52</v>
      </c>
      <c r="C38" s="308" t="s">
        <v>41</v>
      </c>
      <c r="D38" s="308" t="s">
        <v>23</v>
      </c>
      <c r="E38" s="309" t="s">
        <v>24</v>
      </c>
      <c r="F38" s="10">
        <v>32</v>
      </c>
      <c r="G38" s="10"/>
      <c r="H38" s="10"/>
      <c r="I38" s="10"/>
      <c r="J38" s="10"/>
      <c r="K38" s="10"/>
      <c r="L38" s="10"/>
      <c r="M38" s="11"/>
      <c r="N38" s="11"/>
      <c r="O38" s="10"/>
      <c r="P38" s="12"/>
    </row>
    <row r="39" spans="2:16">
      <c r="B39" s="308" t="s">
        <v>783</v>
      </c>
      <c r="C39" s="308" t="s">
        <v>41</v>
      </c>
      <c r="D39" s="308" t="s">
        <v>23</v>
      </c>
      <c r="E39" s="309" t="s">
        <v>820</v>
      </c>
      <c r="F39" s="10">
        <v>7</v>
      </c>
      <c r="G39" s="10"/>
      <c r="H39" s="10"/>
      <c r="I39" s="10"/>
      <c r="J39" s="10"/>
      <c r="K39" s="10"/>
      <c r="L39" s="10"/>
      <c r="M39" s="11"/>
      <c r="N39" s="11"/>
      <c r="O39" s="10"/>
      <c r="P39" s="12"/>
    </row>
    <row r="40" spans="2:16">
      <c r="B40" s="308" t="s">
        <v>784</v>
      </c>
      <c r="C40" s="308" t="s">
        <v>41</v>
      </c>
      <c r="D40" s="308" t="s">
        <v>30</v>
      </c>
      <c r="E40" s="309" t="s">
        <v>31</v>
      </c>
      <c r="F40" s="10">
        <v>5</v>
      </c>
      <c r="G40" s="10"/>
      <c r="H40" s="10"/>
      <c r="I40" s="10"/>
      <c r="J40" s="10"/>
      <c r="K40" s="10"/>
      <c r="L40" s="10"/>
      <c r="M40" s="11"/>
      <c r="N40" s="11"/>
      <c r="O40" s="10"/>
      <c r="P40" s="12"/>
    </row>
    <row r="41" spans="2:16">
      <c r="B41" s="308" t="s">
        <v>785</v>
      </c>
      <c r="C41" s="308" t="s">
        <v>41</v>
      </c>
      <c r="D41" s="308" t="s">
        <v>38</v>
      </c>
      <c r="E41" s="309" t="s">
        <v>39</v>
      </c>
      <c r="F41" s="10">
        <v>1</v>
      </c>
      <c r="G41" s="10"/>
      <c r="H41" s="10"/>
      <c r="I41" s="10"/>
      <c r="J41" s="10"/>
      <c r="K41" s="10"/>
      <c r="L41" s="10"/>
      <c r="M41" s="11"/>
      <c r="N41" s="11"/>
      <c r="O41" s="10"/>
      <c r="P41" s="12"/>
    </row>
    <row r="42" spans="2:16">
      <c r="B42" s="308" t="s">
        <v>60</v>
      </c>
      <c r="C42" s="308" t="s">
        <v>41</v>
      </c>
      <c r="D42" s="308" t="s">
        <v>26</v>
      </c>
      <c r="E42" s="309" t="s">
        <v>61</v>
      </c>
      <c r="F42" s="10">
        <v>14</v>
      </c>
      <c r="G42" s="10"/>
      <c r="H42" s="10"/>
      <c r="I42" s="10"/>
      <c r="J42" s="10"/>
      <c r="K42" s="10"/>
      <c r="L42" s="10"/>
      <c r="M42" s="10"/>
      <c r="N42" s="10"/>
      <c r="O42" s="10"/>
      <c r="P42" s="12"/>
    </row>
    <row r="43" spans="2:16">
      <c r="B43" s="308" t="s">
        <v>786</v>
      </c>
      <c r="C43" s="308" t="s">
        <v>41</v>
      </c>
      <c r="D43" s="308" t="s">
        <v>28</v>
      </c>
      <c r="E43" s="309" t="s">
        <v>814</v>
      </c>
      <c r="F43" s="10">
        <v>0</v>
      </c>
      <c r="G43" s="10"/>
      <c r="H43" s="10"/>
      <c r="I43" s="10"/>
      <c r="J43" s="10"/>
      <c r="K43" s="10"/>
      <c r="L43" s="10"/>
      <c r="M43" s="11"/>
      <c r="N43" s="11"/>
      <c r="O43" s="10"/>
      <c r="P43" s="12"/>
    </row>
    <row r="44" spans="2:16">
      <c r="B44" s="308" t="s">
        <v>787</v>
      </c>
      <c r="C44" s="308" t="s">
        <v>41</v>
      </c>
      <c r="D44" s="308" t="s">
        <v>28</v>
      </c>
      <c r="E44" s="309" t="s">
        <v>814</v>
      </c>
      <c r="F44" s="10">
        <v>1</v>
      </c>
      <c r="G44" s="10"/>
      <c r="H44" s="10"/>
      <c r="I44" s="10"/>
      <c r="J44" s="10"/>
      <c r="K44" s="10"/>
      <c r="L44" s="10"/>
      <c r="M44" s="10"/>
      <c r="N44" s="10"/>
      <c r="O44" s="10"/>
      <c r="P44" s="12"/>
    </row>
    <row r="45" spans="2:16">
      <c r="B45" s="308" t="s">
        <v>788</v>
      </c>
      <c r="C45" s="308" t="s">
        <v>41</v>
      </c>
      <c r="D45" s="308" t="s">
        <v>18</v>
      </c>
      <c r="E45" s="309" t="s">
        <v>816</v>
      </c>
      <c r="F45" s="10">
        <v>3</v>
      </c>
      <c r="G45" s="10"/>
      <c r="H45" s="10"/>
      <c r="I45" s="10"/>
      <c r="J45" s="10"/>
      <c r="K45" s="10"/>
      <c r="L45" s="10"/>
      <c r="M45" s="10"/>
      <c r="N45" s="10"/>
      <c r="O45" s="10"/>
      <c r="P45" s="12"/>
    </row>
    <row r="46" spans="2:16">
      <c r="B46" s="308" t="s">
        <v>789</v>
      </c>
      <c r="C46" s="308" t="s">
        <v>41</v>
      </c>
      <c r="D46" s="308" t="s">
        <v>20</v>
      </c>
      <c r="E46" s="309" t="s">
        <v>21</v>
      </c>
      <c r="F46" s="10">
        <v>3</v>
      </c>
      <c r="G46" s="10"/>
      <c r="H46" s="10"/>
      <c r="I46" s="10"/>
      <c r="J46" s="10"/>
      <c r="K46" s="10"/>
      <c r="L46" s="10"/>
      <c r="M46" s="10"/>
      <c r="N46" s="10"/>
      <c r="O46" s="10"/>
      <c r="P46" s="12"/>
    </row>
    <row r="47" spans="2:16">
      <c r="B47" s="308" t="s">
        <v>790</v>
      </c>
      <c r="C47" s="308" t="s">
        <v>41</v>
      </c>
      <c r="D47" s="308" t="s">
        <v>20</v>
      </c>
      <c r="E47" s="309" t="s">
        <v>810</v>
      </c>
      <c r="F47" s="10">
        <v>1</v>
      </c>
      <c r="G47" s="10"/>
      <c r="H47" s="10"/>
      <c r="I47" s="10"/>
      <c r="J47" s="10"/>
      <c r="K47" s="10"/>
      <c r="L47" s="10"/>
      <c r="M47" s="11"/>
      <c r="N47" s="11"/>
      <c r="O47" s="10"/>
      <c r="P47" s="12"/>
    </row>
    <row r="48" spans="2:16">
      <c r="B48" s="308" t="s">
        <v>791</v>
      </c>
      <c r="C48" s="308" t="s">
        <v>41</v>
      </c>
      <c r="D48" s="308" t="s">
        <v>20</v>
      </c>
      <c r="E48" s="309" t="s">
        <v>821</v>
      </c>
      <c r="F48" s="10">
        <v>2</v>
      </c>
      <c r="G48" s="10"/>
      <c r="H48" s="10"/>
      <c r="I48" s="10"/>
      <c r="J48" s="10"/>
      <c r="K48" s="10"/>
      <c r="L48" s="10"/>
      <c r="M48" s="11"/>
      <c r="N48" s="11"/>
      <c r="O48" s="10"/>
      <c r="P48" s="12"/>
    </row>
    <row r="49" spans="2:16">
      <c r="B49" s="308" t="s">
        <v>792</v>
      </c>
      <c r="C49" s="308" t="s">
        <v>41</v>
      </c>
      <c r="D49" s="308" t="s">
        <v>34</v>
      </c>
      <c r="E49" s="309" t="s">
        <v>822</v>
      </c>
      <c r="F49" s="10">
        <v>1</v>
      </c>
      <c r="G49" s="10"/>
      <c r="H49" s="10"/>
      <c r="I49" s="10"/>
      <c r="J49" s="10"/>
      <c r="K49" s="10"/>
      <c r="L49" s="10"/>
      <c r="M49" s="11"/>
      <c r="N49" s="11"/>
      <c r="O49" s="10"/>
      <c r="P49" s="12"/>
    </row>
    <row r="50" spans="2:16">
      <c r="B50" s="308" t="s">
        <v>58</v>
      </c>
      <c r="C50" s="308" t="s">
        <v>41</v>
      </c>
      <c r="D50" s="308" t="s">
        <v>38</v>
      </c>
      <c r="E50" s="309" t="s">
        <v>39</v>
      </c>
      <c r="F50" s="10">
        <v>19</v>
      </c>
      <c r="G50" s="10"/>
      <c r="H50" s="10"/>
      <c r="I50" s="10"/>
      <c r="J50" s="10"/>
      <c r="K50" s="10"/>
      <c r="L50" s="10"/>
      <c r="M50" s="11"/>
      <c r="N50" s="11"/>
      <c r="O50" s="10"/>
      <c r="P50" s="12"/>
    </row>
    <row r="51" spans="2:16">
      <c r="B51" s="308" t="s">
        <v>793</v>
      </c>
      <c r="C51" s="308" t="s">
        <v>41</v>
      </c>
      <c r="D51" s="308" t="s">
        <v>34</v>
      </c>
      <c r="E51" s="309" t="s">
        <v>813</v>
      </c>
      <c r="F51" s="10">
        <v>5</v>
      </c>
      <c r="G51" s="10"/>
      <c r="H51" s="10"/>
      <c r="I51" s="10"/>
      <c r="J51" s="10"/>
      <c r="K51" s="10"/>
      <c r="L51" s="10"/>
      <c r="M51" s="11"/>
      <c r="N51" s="11"/>
      <c r="O51" s="10"/>
      <c r="P51" s="12"/>
    </row>
    <row r="52" spans="2:16">
      <c r="B52" s="308" t="s">
        <v>794</v>
      </c>
      <c r="C52" s="308" t="s">
        <v>41</v>
      </c>
      <c r="D52" s="308" t="s">
        <v>28</v>
      </c>
      <c r="E52" s="309" t="s">
        <v>814</v>
      </c>
      <c r="F52" s="10">
        <v>1</v>
      </c>
      <c r="G52" s="10"/>
      <c r="H52" s="10"/>
      <c r="I52" s="10"/>
      <c r="J52" s="10"/>
      <c r="K52" s="10"/>
      <c r="L52" s="10"/>
      <c r="M52" s="11"/>
      <c r="N52" s="11"/>
      <c r="O52" s="10"/>
      <c r="P52" s="12"/>
    </row>
    <row r="53" spans="2:16">
      <c r="B53" s="308" t="s">
        <v>795</v>
      </c>
      <c r="C53" s="308" t="s">
        <v>41</v>
      </c>
      <c r="D53" s="308" t="s">
        <v>28</v>
      </c>
      <c r="E53" s="309" t="s">
        <v>814</v>
      </c>
      <c r="F53" s="10">
        <v>1</v>
      </c>
      <c r="G53" s="10"/>
      <c r="H53" s="10"/>
      <c r="I53" s="10"/>
      <c r="J53" s="10"/>
      <c r="K53" s="10"/>
      <c r="L53" s="10"/>
      <c r="M53" s="11"/>
      <c r="N53" s="11"/>
      <c r="O53" s="10"/>
      <c r="P53" s="12"/>
    </row>
    <row r="54" spans="2:16">
      <c r="B54" s="308" t="s">
        <v>796</v>
      </c>
      <c r="C54" s="308" t="s">
        <v>41</v>
      </c>
      <c r="D54" s="308" t="s">
        <v>34</v>
      </c>
      <c r="E54" s="309" t="s">
        <v>823</v>
      </c>
      <c r="F54" s="10">
        <v>1</v>
      </c>
      <c r="G54" s="10"/>
      <c r="H54" s="10"/>
      <c r="I54" s="10"/>
      <c r="J54" s="10"/>
      <c r="K54" s="10"/>
      <c r="L54" s="10"/>
      <c r="M54" s="11"/>
      <c r="N54" s="11"/>
      <c r="O54" s="10"/>
      <c r="P54" s="12"/>
    </row>
    <row r="55" spans="2:16">
      <c r="B55" s="308" t="s">
        <v>797</v>
      </c>
      <c r="C55" s="308" t="s">
        <v>41</v>
      </c>
      <c r="D55" s="308" t="s">
        <v>28</v>
      </c>
      <c r="E55" s="309" t="s">
        <v>824</v>
      </c>
      <c r="F55" s="10">
        <v>5</v>
      </c>
      <c r="G55" s="10"/>
      <c r="H55" s="10"/>
      <c r="I55" s="10"/>
      <c r="J55" s="10"/>
      <c r="K55" s="10"/>
      <c r="L55" s="10"/>
      <c r="M55" s="11"/>
      <c r="N55" s="11"/>
      <c r="O55" s="10"/>
      <c r="P55" s="12"/>
    </row>
    <row r="56" spans="2:16">
      <c r="B56" s="308" t="s">
        <v>798</v>
      </c>
      <c r="C56" s="308" t="s">
        <v>41</v>
      </c>
      <c r="D56" s="308" t="s">
        <v>38</v>
      </c>
      <c r="E56" s="309" t="s">
        <v>825</v>
      </c>
      <c r="F56" s="10">
        <v>2</v>
      </c>
      <c r="G56" s="10"/>
      <c r="H56" s="10"/>
      <c r="I56" s="10"/>
      <c r="J56" s="10"/>
      <c r="K56" s="10"/>
      <c r="L56" s="10"/>
      <c r="M56" s="10"/>
      <c r="N56" s="10"/>
      <c r="O56" s="10"/>
      <c r="P56" s="12"/>
    </row>
    <row r="57" spans="2:16">
      <c r="B57" s="308" t="s">
        <v>49</v>
      </c>
      <c r="C57" s="308" t="s">
        <v>41</v>
      </c>
      <c r="D57" s="308" t="s">
        <v>23</v>
      </c>
      <c r="E57" s="309" t="s">
        <v>46</v>
      </c>
      <c r="F57" s="10">
        <v>43</v>
      </c>
      <c r="G57" s="10"/>
      <c r="H57" s="10"/>
      <c r="I57" s="10"/>
      <c r="J57" s="10"/>
      <c r="K57" s="10"/>
      <c r="L57" s="10"/>
      <c r="M57" s="10"/>
      <c r="N57" s="10"/>
      <c r="O57" s="10"/>
      <c r="P57" s="12"/>
    </row>
    <row r="58" spans="2:16">
      <c r="B58" s="308" t="s">
        <v>53</v>
      </c>
      <c r="C58" s="308" t="s">
        <v>41</v>
      </c>
      <c r="D58" s="308" t="s">
        <v>20</v>
      </c>
      <c r="E58" s="309" t="s">
        <v>21</v>
      </c>
      <c r="F58" s="10">
        <v>35</v>
      </c>
      <c r="G58" s="10"/>
      <c r="H58" s="10"/>
      <c r="I58" s="10"/>
      <c r="J58" s="10"/>
      <c r="K58" s="10"/>
      <c r="L58" s="10"/>
      <c r="M58" s="10"/>
      <c r="N58" s="10"/>
      <c r="O58" s="10"/>
      <c r="P58" s="12"/>
    </row>
    <row r="59" spans="2:16">
      <c r="B59" s="308" t="s">
        <v>799</v>
      </c>
      <c r="C59" s="308" t="s">
        <v>41</v>
      </c>
      <c r="D59" s="308" t="s">
        <v>34</v>
      </c>
      <c r="E59" s="309" t="s">
        <v>817</v>
      </c>
      <c r="F59" s="10">
        <v>0</v>
      </c>
      <c r="G59" s="10"/>
      <c r="H59" s="10"/>
      <c r="I59" s="10"/>
      <c r="J59" s="10"/>
      <c r="K59" s="10"/>
      <c r="L59" s="10"/>
      <c r="M59" s="10"/>
      <c r="N59" s="10"/>
      <c r="O59" s="10"/>
      <c r="P59" s="12"/>
    </row>
    <row r="60" spans="2:16">
      <c r="B60" s="308" t="s">
        <v>800</v>
      </c>
      <c r="C60" s="308" t="s">
        <v>41</v>
      </c>
      <c r="D60" s="308" t="s">
        <v>28</v>
      </c>
      <c r="E60" s="309" t="s">
        <v>826</v>
      </c>
      <c r="F60" s="10">
        <v>0</v>
      </c>
      <c r="G60" s="10"/>
      <c r="H60" s="10"/>
      <c r="I60" s="10"/>
      <c r="J60" s="10"/>
      <c r="K60" s="10"/>
      <c r="L60" s="10"/>
      <c r="M60" s="10"/>
      <c r="N60" s="10"/>
      <c r="O60" s="10"/>
      <c r="P60" s="12"/>
    </row>
    <row r="61" spans="2:16">
      <c r="B61" s="308" t="s">
        <v>801</v>
      </c>
      <c r="C61" s="308" t="s">
        <v>41</v>
      </c>
      <c r="D61" s="308" t="s">
        <v>34</v>
      </c>
      <c r="E61" s="309" t="s">
        <v>827</v>
      </c>
      <c r="F61" s="10">
        <v>2</v>
      </c>
      <c r="G61" s="10"/>
      <c r="H61" s="10"/>
      <c r="I61" s="10"/>
      <c r="J61" s="10"/>
      <c r="K61" s="10"/>
      <c r="L61" s="10"/>
      <c r="M61" s="10"/>
      <c r="N61" s="10"/>
      <c r="O61" s="10"/>
      <c r="P61" s="12"/>
    </row>
    <row r="62" spans="2:16">
      <c r="B62" s="308" t="s">
        <v>802</v>
      </c>
      <c r="C62" s="308" t="s">
        <v>41</v>
      </c>
      <c r="D62" s="308" t="s">
        <v>26</v>
      </c>
      <c r="E62" s="309" t="s">
        <v>56</v>
      </c>
      <c r="F62" s="10">
        <v>0</v>
      </c>
      <c r="G62" s="10"/>
      <c r="H62" s="10"/>
      <c r="I62" s="10"/>
      <c r="J62" s="10"/>
      <c r="K62" s="10"/>
      <c r="L62" s="10"/>
      <c r="M62" s="10"/>
      <c r="N62" s="10"/>
      <c r="O62" s="10"/>
      <c r="P62" s="12"/>
    </row>
    <row r="63" spans="2:16">
      <c r="B63" s="308" t="s">
        <v>803</v>
      </c>
      <c r="C63" s="308" t="s">
        <v>41</v>
      </c>
      <c r="D63" s="308" t="s">
        <v>34</v>
      </c>
      <c r="E63" s="309" t="s">
        <v>35</v>
      </c>
      <c r="F63" s="10">
        <v>0</v>
      </c>
      <c r="G63" s="10"/>
      <c r="H63" s="10"/>
      <c r="I63" s="10"/>
      <c r="J63" s="10"/>
      <c r="K63" s="10"/>
      <c r="L63" s="10"/>
      <c r="M63" s="11"/>
      <c r="N63" s="11"/>
      <c r="O63" s="10"/>
      <c r="P63" s="12"/>
    </row>
    <row r="64" spans="2:16">
      <c r="B64" s="308" t="s">
        <v>804</v>
      </c>
      <c r="C64" s="308" t="s">
        <v>41</v>
      </c>
      <c r="D64" s="308" t="s">
        <v>30</v>
      </c>
      <c r="E64" s="309" t="s">
        <v>32</v>
      </c>
      <c r="F64" s="10">
        <v>5</v>
      </c>
      <c r="G64" s="10"/>
      <c r="H64" s="10"/>
      <c r="I64" s="10"/>
      <c r="J64" s="10"/>
      <c r="K64" s="10"/>
      <c r="L64" s="10"/>
      <c r="M64" s="10"/>
      <c r="N64" s="10"/>
      <c r="O64" s="10"/>
      <c r="P64" s="12"/>
    </row>
    <row r="65" spans="2:16">
      <c r="B65" s="308" t="s">
        <v>54</v>
      </c>
      <c r="C65" s="308" t="s">
        <v>41</v>
      </c>
      <c r="D65" s="308" t="s">
        <v>26</v>
      </c>
      <c r="E65" s="309" t="s">
        <v>828</v>
      </c>
      <c r="F65" s="10">
        <v>84</v>
      </c>
      <c r="G65" s="10"/>
      <c r="H65" s="10"/>
      <c r="I65" s="10"/>
      <c r="J65" s="10"/>
      <c r="K65" s="10"/>
      <c r="L65" s="10"/>
      <c r="M65" s="10"/>
      <c r="N65" s="10"/>
      <c r="O65" s="10"/>
      <c r="P65" s="12"/>
    </row>
    <row r="66" spans="2:16">
      <c r="B66" s="308" t="s">
        <v>805</v>
      </c>
      <c r="C66" s="308" t="s">
        <v>41</v>
      </c>
      <c r="D66" s="308" t="s">
        <v>28</v>
      </c>
      <c r="E66" s="309" t="s">
        <v>826</v>
      </c>
      <c r="F66" s="10">
        <v>1</v>
      </c>
      <c r="G66" s="10"/>
      <c r="H66" s="10"/>
      <c r="I66" s="10"/>
      <c r="J66" s="10"/>
      <c r="K66" s="10"/>
      <c r="L66" s="10"/>
      <c r="M66" s="11"/>
      <c r="N66" s="11"/>
      <c r="O66" s="10"/>
      <c r="P66" s="12"/>
    </row>
    <row r="67" spans="2:16">
      <c r="B67" s="308" t="s">
        <v>42</v>
      </c>
      <c r="C67" s="308" t="s">
        <v>41</v>
      </c>
      <c r="D67" s="308" t="s">
        <v>30</v>
      </c>
      <c r="E67" s="309" t="s">
        <v>32</v>
      </c>
      <c r="F67" s="10">
        <v>28</v>
      </c>
      <c r="G67" s="10"/>
      <c r="H67" s="10"/>
      <c r="I67" s="10"/>
      <c r="J67" s="10"/>
      <c r="K67" s="10"/>
      <c r="L67" s="10"/>
      <c r="M67" s="11"/>
      <c r="N67" s="11"/>
      <c r="O67" s="10"/>
      <c r="P67" s="12"/>
    </row>
    <row r="68" spans="2:16">
      <c r="B68" s="301" t="s">
        <v>14</v>
      </c>
      <c r="C68" s="301" t="s">
        <v>15</v>
      </c>
      <c r="D68" s="301" t="s">
        <v>16</v>
      </c>
      <c r="E68" s="302" t="s">
        <v>831</v>
      </c>
      <c r="F68" s="302">
        <v>1021</v>
      </c>
      <c r="G68" s="10"/>
      <c r="H68" s="10"/>
      <c r="I68" s="10"/>
      <c r="J68" s="10"/>
      <c r="K68" s="10"/>
      <c r="L68" s="10"/>
      <c r="M68" s="11"/>
      <c r="N68" s="11"/>
      <c r="O68" s="10"/>
      <c r="P68" s="12"/>
    </row>
    <row r="69" spans="2:16">
      <c r="B69" s="303" t="s">
        <v>29</v>
      </c>
      <c r="C69" s="303" t="s">
        <v>17</v>
      </c>
      <c r="D69" s="303" t="s">
        <v>30</v>
      </c>
      <c r="E69" s="304" t="s">
        <v>96</v>
      </c>
      <c r="F69" s="305">
        <v>492</v>
      </c>
      <c r="G69" s="325">
        <v>625601</v>
      </c>
      <c r="H69" s="335">
        <f>Tabuľka1[[#This Row],[Počet obyvateľov v kraji (ŠÚ 2021), https://www.scitanie.sk/en/population/basic-results/number-of-population/SR/SK0/KR]]/Tabuľka1[[#This Row],[Počet vozidiel (2022/2023) - zdroj prieskum, BID SK]]</f>
        <v>1271.5467479674796</v>
      </c>
      <c r="I69" s="10"/>
      <c r="J69" s="10"/>
      <c r="K69" s="10"/>
      <c r="L69" s="10"/>
      <c r="M69" s="11"/>
      <c r="N69" s="11"/>
      <c r="O69" s="10"/>
      <c r="P69" s="12"/>
    </row>
    <row r="70" spans="2:16">
      <c r="B70" s="303" t="s">
        <v>806</v>
      </c>
      <c r="C70" s="303" t="s">
        <v>17</v>
      </c>
      <c r="D70" s="303" t="s">
        <v>18</v>
      </c>
      <c r="E70" s="304" t="s">
        <v>816</v>
      </c>
      <c r="F70" s="305">
        <v>1141</v>
      </c>
      <c r="G70" s="325">
        <v>719537</v>
      </c>
      <c r="H70" s="335">
        <f>Tabuľka1[[#This Row],[Počet obyvateľov v kraji (ŠÚ 2021), https://www.scitanie.sk/en/population/basic-results/number-of-population/SR/SK0/KR]]/Tabuľka1[[#This Row],[Počet vozidiel (2022/2023) - zdroj prieskum, BID SK]]</f>
        <v>630.61963190184053</v>
      </c>
      <c r="I70" s="10"/>
      <c r="J70" s="10"/>
      <c r="K70" s="10"/>
      <c r="L70" s="10"/>
      <c r="M70" s="10"/>
      <c r="N70" s="10"/>
      <c r="O70" s="10"/>
      <c r="P70" s="12"/>
    </row>
    <row r="71" spans="2:16">
      <c r="B71" s="303" t="s">
        <v>37</v>
      </c>
      <c r="C71" s="303" t="s">
        <v>17</v>
      </c>
      <c r="D71" s="303" t="s">
        <v>38</v>
      </c>
      <c r="E71" s="304" t="s">
        <v>98</v>
      </c>
      <c r="F71" s="327">
        <f>Tabuľka1[[#This Row],[Počet obyvateľov v kraji (ŠÚ 2021), https://www.scitanie.sk/en/population/basic-results/number-of-population/SR/SK0/KR]]/H78</f>
        <v>524.17103862380827</v>
      </c>
      <c r="G71" s="325">
        <v>782216</v>
      </c>
      <c r="H71" s="334">
        <f>Tabuľka1[[#This Row],[Počet obyvateľov v kraji (ŠÚ 2021), https://www.scitanie.sk/en/population/basic-results/number-of-population/SR/SK0/KR]]/Tabuľka1[[#This Row],[Počet vozidiel (2022/2023) - zdroj prieskum, BID SK]]</f>
        <v>1492.2915276923336</v>
      </c>
      <c r="I71" s="10"/>
      <c r="J71" s="10"/>
      <c r="K71" s="10"/>
      <c r="L71" s="10"/>
      <c r="M71" s="11"/>
      <c r="N71" s="11"/>
      <c r="O71" s="10"/>
      <c r="P71" s="12"/>
    </row>
    <row r="72" spans="2:16">
      <c r="B72" s="303" t="s">
        <v>27</v>
      </c>
      <c r="C72" s="303" t="s">
        <v>17</v>
      </c>
      <c r="D72" s="303" t="s">
        <v>28</v>
      </c>
      <c r="E72" s="304" t="s">
        <v>95</v>
      </c>
      <c r="F72" s="305">
        <v>430</v>
      </c>
      <c r="G72" s="325">
        <v>677900</v>
      </c>
      <c r="H72" s="335">
        <f>Tabuľka1[[#This Row],[Počet obyvateľov v kraji (ŠÚ 2021), https://www.scitanie.sk/en/population/basic-results/number-of-population/SR/SK0/KR]]/Tabuľka1[[#This Row],[Počet vozidiel (2022/2023) - zdroj prieskum, BID SK]]</f>
        <v>1576.5116279069769</v>
      </c>
      <c r="I72" s="10"/>
      <c r="J72" s="10"/>
      <c r="K72" s="10"/>
      <c r="L72" s="10"/>
      <c r="M72" s="11"/>
      <c r="N72" s="11"/>
      <c r="O72" s="10"/>
      <c r="P72" s="12"/>
    </row>
    <row r="73" spans="2:16">
      <c r="B73" s="303" t="s">
        <v>33</v>
      </c>
      <c r="C73" s="303" t="s">
        <v>17</v>
      </c>
      <c r="D73" s="303" t="s">
        <v>34</v>
      </c>
      <c r="E73" s="304" t="s">
        <v>97</v>
      </c>
      <c r="F73" s="327">
        <f>Tabuľka1[[#This Row],[Počet obyvateľov v kraji (ŠÚ 2021), https://www.scitanie.sk/en/population/basic-results/number-of-population/SR/SK0/KR]]/H78</f>
        <v>542.07303666122391</v>
      </c>
      <c r="G73" s="325">
        <v>808931</v>
      </c>
      <c r="H73" s="334">
        <f>Tabuľka1[[#This Row],[Počet obyvateľov v kraji (ŠÚ 2021), https://www.scitanie.sk/en/population/basic-results/number-of-population/SR/SK0/KR]]/Tabuľka1[[#This Row],[Počet vozidiel (2022/2023) - zdroj prieskum, BID SK]]</f>
        <v>1492.2915276923331</v>
      </c>
      <c r="I73" s="10"/>
      <c r="J73" s="10"/>
      <c r="K73" s="10"/>
      <c r="L73" s="10"/>
      <c r="M73" s="11"/>
      <c r="N73" s="11"/>
      <c r="O73" s="10"/>
      <c r="P73" s="12"/>
    </row>
    <row r="74" spans="2:16">
      <c r="B74" s="303" t="s">
        <v>22</v>
      </c>
      <c r="C74" s="303" t="s">
        <v>17</v>
      </c>
      <c r="D74" s="303" t="s">
        <v>23</v>
      </c>
      <c r="E74" s="304" t="s">
        <v>93</v>
      </c>
      <c r="F74" s="305">
        <v>253</v>
      </c>
      <c r="G74" s="325">
        <v>577464</v>
      </c>
      <c r="H74" s="335">
        <f>Tabuľka1[[#This Row],[Počet obyvateľov v kraji (ŠÚ 2021), https://www.scitanie.sk/en/population/basic-results/number-of-population/SR/SK0/KR]]/Tabuľka1[[#This Row],[Počet vozidiel (2022/2023) - zdroj prieskum, BID SK]]</f>
        <v>2282.4664031620555</v>
      </c>
      <c r="I74" s="10"/>
      <c r="J74" s="10"/>
      <c r="K74" s="10"/>
      <c r="L74" s="10"/>
      <c r="M74" s="11"/>
      <c r="N74" s="11"/>
      <c r="O74" s="10"/>
      <c r="P74" s="12"/>
    </row>
    <row r="75" spans="2:16">
      <c r="B75" s="303" t="s">
        <v>19</v>
      </c>
      <c r="C75" s="303" t="s">
        <v>17</v>
      </c>
      <c r="D75" s="303" t="s">
        <v>20</v>
      </c>
      <c r="E75" s="304" t="s">
        <v>92</v>
      </c>
      <c r="F75" s="305">
        <v>344</v>
      </c>
      <c r="G75" s="325">
        <v>566008</v>
      </c>
      <c r="H75" s="335">
        <f>Tabuľka1[[#This Row],[Počet obyvateľov v kraji (ŠÚ 2021), https://www.scitanie.sk/en/population/basic-results/number-of-population/SR/SK0/KR]]/Tabuľka1[[#This Row],[Počet vozidiel (2022/2023) - zdroj prieskum, BID SK]]</f>
        <v>1645.3720930232557</v>
      </c>
      <c r="I75" s="10"/>
      <c r="J75" s="10"/>
      <c r="K75" s="10"/>
      <c r="L75" s="10"/>
      <c r="M75" s="11"/>
      <c r="N75" s="11"/>
      <c r="O75" s="10"/>
      <c r="P75" s="12"/>
    </row>
    <row r="76" spans="2:16">
      <c r="B76" s="303" t="s">
        <v>25</v>
      </c>
      <c r="C76" s="303" t="s">
        <v>17</v>
      </c>
      <c r="D76" s="303" t="s">
        <v>26</v>
      </c>
      <c r="E76" s="304" t="s">
        <v>94</v>
      </c>
      <c r="F76" s="305">
        <v>447</v>
      </c>
      <c r="G76" s="325">
        <v>691613</v>
      </c>
      <c r="H76" s="335">
        <f>Tabuľka1[[#This Row],[Počet obyvateľov v kraji (ŠÚ 2021), https://www.scitanie.sk/en/population/basic-results/number-of-population/SR/SK0/KR]]/Tabuľka1[[#This Row],[Počet vozidiel (2022/2023) - zdroj prieskum, BID SK]]</f>
        <v>1547.2326621923937</v>
      </c>
      <c r="I76" s="10"/>
      <c r="J76" s="10"/>
      <c r="K76" s="10"/>
      <c r="L76" s="10"/>
      <c r="M76" s="10"/>
      <c r="N76" s="10"/>
      <c r="O76" s="10"/>
      <c r="P76" s="12"/>
    </row>
    <row r="77" spans="2:16">
      <c r="B77" s="325" t="s">
        <v>203</v>
      </c>
      <c r="C77" s="320"/>
      <c r="D77" s="321"/>
      <c r="E77" s="319"/>
      <c r="F77" s="325"/>
      <c r="G77" s="325">
        <f>SUM(G69:G76)</f>
        <v>5449270</v>
      </c>
      <c r="H77" s="13"/>
      <c r="I77" s="10"/>
      <c r="J77" s="10"/>
      <c r="K77" s="10"/>
      <c r="L77" s="10"/>
      <c r="M77" s="10"/>
      <c r="N77" s="10"/>
      <c r="O77" s="10"/>
      <c r="P77" s="12"/>
    </row>
    <row r="78" spans="2:16">
      <c r="B78" s="325" t="s">
        <v>834</v>
      </c>
      <c r="D78" s="322"/>
      <c r="E78" s="319"/>
      <c r="F78" s="10"/>
      <c r="G78" s="10"/>
      <c r="H78" s="326">
        <f>AVERAGE(H69,H70,H72,H74,H75,H76)</f>
        <v>1492.2915276923334</v>
      </c>
      <c r="I78" s="10"/>
      <c r="J78" s="10"/>
      <c r="K78" s="10"/>
      <c r="L78" s="10"/>
      <c r="M78" s="10"/>
      <c r="N78" s="10"/>
      <c r="O78" s="10"/>
      <c r="P78" s="12"/>
    </row>
    <row r="79" spans="2:16">
      <c r="B79" s="323"/>
      <c r="C79" s="324"/>
      <c r="D79" s="8"/>
      <c r="E79" s="319"/>
      <c r="F79" s="10"/>
      <c r="G79" s="10"/>
      <c r="H79" s="300"/>
      <c r="I79" s="10"/>
      <c r="J79" s="10"/>
      <c r="K79" s="10"/>
      <c r="L79" s="10"/>
      <c r="M79" s="10"/>
      <c r="N79" s="10"/>
      <c r="O79" s="10"/>
      <c r="P79" s="12"/>
    </row>
    <row r="82" spans="2:6">
      <c r="B82" s="1930" t="s">
        <v>841</v>
      </c>
      <c r="C82" s="1931"/>
      <c r="D82" s="1931"/>
      <c r="E82" s="1932"/>
      <c r="F82" s="10">
        <f>SUM(F3:F67)</f>
        <v>2015</v>
      </c>
    </row>
    <row r="83" spans="2:6">
      <c r="B83" s="1930" t="s">
        <v>842</v>
      </c>
      <c r="C83" s="1931"/>
      <c r="D83" s="1931"/>
      <c r="E83" s="1932"/>
      <c r="F83" s="10">
        <f>SUM(F68)</f>
        <v>1021</v>
      </c>
    </row>
    <row r="84" spans="2:6">
      <c r="B84" s="1930" t="s">
        <v>843</v>
      </c>
      <c r="C84" s="1931"/>
      <c r="D84" s="1931"/>
      <c r="E84" s="1932"/>
      <c r="F84" s="336">
        <f>SUM(F69:F76)</f>
        <v>4173.2440752850325</v>
      </c>
    </row>
    <row r="85" spans="2:6">
      <c r="B85" s="1959" t="s">
        <v>203</v>
      </c>
      <c r="C85" s="1960"/>
      <c r="D85" s="1960"/>
      <c r="E85" s="1961"/>
      <c r="F85" s="337">
        <f>SUM(F82:F84)</f>
        <v>7209.2440752850325</v>
      </c>
    </row>
    <row r="86" spans="2:6">
      <c r="B86" s="1962" t="s">
        <v>844</v>
      </c>
      <c r="C86" s="1963"/>
      <c r="D86" s="1963"/>
      <c r="E86" s="1963"/>
      <c r="F86" s="1964"/>
    </row>
    <row r="89" spans="2:6">
      <c r="B89" s="198"/>
      <c r="C89" s="22" t="s">
        <v>748</v>
      </c>
    </row>
    <row r="90" spans="2:6">
      <c r="B90" s="58"/>
      <c r="C90" s="22" t="s">
        <v>749</v>
      </c>
    </row>
    <row r="91" spans="2:6">
      <c r="B91" s="288"/>
      <c r="C91" s="22" t="s">
        <v>750</v>
      </c>
    </row>
  </sheetData>
  <mergeCells count="5">
    <mergeCell ref="B82:E82"/>
    <mergeCell ref="B83:E83"/>
    <mergeCell ref="B84:E84"/>
    <mergeCell ref="B85:E85"/>
    <mergeCell ref="B86:F86"/>
  </mergeCells>
  <pageMargins left="0.7" right="0.7" top="0.75" bottom="0.75" header="0.3" footer="0.3"/>
  <pageSetup paperSize="9" orientation="portrait" r:id="rId1"/>
  <tableParts count="1">
    <tablePart r:id="rId2"/>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211"/>
  <sheetViews>
    <sheetView showGridLines="0" topLeftCell="B190" zoomScale="86" zoomScaleNormal="86" workbookViewId="0">
      <selection activeCell="J219" sqref="J219"/>
    </sheetView>
  </sheetViews>
  <sheetFormatPr defaultRowHeight="15"/>
  <cols>
    <col min="2" max="2" width="30.5703125" customWidth="1"/>
    <col min="3" max="4" width="12.42578125" customWidth="1"/>
    <col min="5" max="5" width="35.140625" hidden="1" customWidth="1"/>
    <col min="6" max="15" width="13.28515625" customWidth="1"/>
    <col min="16" max="16" width="11.7109375" customWidth="1"/>
    <col min="17" max="28" width="13.28515625" customWidth="1"/>
  </cols>
  <sheetData>
    <row r="1" spans="2:28">
      <c r="B1" t="s">
        <v>1043</v>
      </c>
    </row>
    <row r="2" spans="2:28">
      <c r="B2" s="199" t="s">
        <v>1044</v>
      </c>
    </row>
    <row r="3" spans="2:28">
      <c r="B3" t="s">
        <v>829</v>
      </c>
      <c r="C3" s="1"/>
      <c r="D3" s="1"/>
    </row>
    <row r="4" spans="2:28">
      <c r="B4" s="535" t="s">
        <v>214</v>
      </c>
      <c r="C4" s="536" t="s">
        <v>12</v>
      </c>
      <c r="D4" s="536" t="s">
        <v>13</v>
      </c>
      <c r="E4" s="536" t="s">
        <v>207</v>
      </c>
      <c r="F4" s="536" t="s">
        <v>299</v>
      </c>
      <c r="G4" s="536" t="s">
        <v>300</v>
      </c>
      <c r="H4" s="536" t="s">
        <v>301</v>
      </c>
      <c r="I4" s="536" t="s">
        <v>302</v>
      </c>
      <c r="J4" s="536" t="s">
        <v>303</v>
      </c>
      <c r="K4" s="536" t="s">
        <v>304</v>
      </c>
      <c r="L4" s="536" t="s">
        <v>305</v>
      </c>
      <c r="M4" s="536" t="s">
        <v>306</v>
      </c>
      <c r="N4" s="536" t="s">
        <v>307</v>
      </c>
      <c r="O4" s="536" t="s">
        <v>308</v>
      </c>
      <c r="P4" s="536" t="s">
        <v>309</v>
      </c>
      <c r="Q4" s="538" t="s">
        <v>153</v>
      </c>
      <c r="R4" s="537" t="s">
        <v>340</v>
      </c>
      <c r="S4" s="537" t="s">
        <v>341</v>
      </c>
      <c r="T4" s="537" t="s">
        <v>342</v>
      </c>
      <c r="U4" s="537" t="s">
        <v>343</v>
      </c>
      <c r="V4" s="537" t="s">
        <v>344</v>
      </c>
      <c r="W4" s="537" t="s">
        <v>345</v>
      </c>
      <c r="X4" s="537" t="s">
        <v>346</v>
      </c>
      <c r="Y4" s="537" t="s">
        <v>347</v>
      </c>
      <c r="Z4" s="537" t="s">
        <v>348</v>
      </c>
      <c r="AA4" s="537" t="s">
        <v>349</v>
      </c>
      <c r="AB4" s="537" t="s">
        <v>350</v>
      </c>
    </row>
    <row r="5" spans="2:28">
      <c r="B5" s="539" t="s">
        <v>758</v>
      </c>
      <c r="C5" s="539" t="s">
        <v>41</v>
      </c>
      <c r="D5" s="539" t="s">
        <v>23</v>
      </c>
      <c r="E5" s="540" t="s">
        <v>24</v>
      </c>
      <c r="F5" s="541">
        <v>19323</v>
      </c>
      <c r="G5" s="541">
        <v>19133</v>
      </c>
      <c r="H5" s="541">
        <v>18933</v>
      </c>
      <c r="I5" s="541">
        <v>18823</v>
      </c>
      <c r="J5" s="541">
        <v>18606</v>
      </c>
      <c r="K5" s="541">
        <v>18350</v>
      </c>
      <c r="L5" s="541">
        <v>18082</v>
      </c>
      <c r="M5" s="542">
        <v>17750</v>
      </c>
      <c r="N5" s="542">
        <v>17417</v>
      </c>
      <c r="O5" s="541">
        <v>16943</v>
      </c>
      <c r="P5" s="543">
        <v>16614</v>
      </c>
      <c r="Q5" s="544"/>
      <c r="R5" s="543">
        <f>Tabuľka15[[#This Row],[2022]]+P5*Q140</f>
        <v>16365.217799974631</v>
      </c>
      <c r="S5" s="543">
        <f t="shared" ref="S5:S36" si="0">R5+R5*Q140</f>
        <v>16120.160926965602</v>
      </c>
      <c r="T5" s="543">
        <f t="shared" ref="T5" si="1">S5+S5*R140</f>
        <v>15878.773596992478</v>
      </c>
      <c r="U5" s="543">
        <f t="shared" ref="U5" si="2">T5+T5*S140</f>
        <v>15641.000861398128</v>
      </c>
      <c r="V5" s="543">
        <f t="shared" ref="V5" si="3">U5+U5*T140</f>
        <v>15406.788594340387</v>
      </c>
      <c r="W5" s="543">
        <f t="shared" ref="W5" si="4">V5+V5*U140</f>
        <v>15176.083480471014</v>
      </c>
      <c r="X5" s="543">
        <f t="shared" ref="X5" si="5">W5+W5*V140</f>
        <v>14948.833002799158</v>
      </c>
      <c r="Y5" s="543">
        <f t="shared" ref="Y5" si="6">X5+X5*W140</f>
        <v>14724.985430736548</v>
      </c>
      <c r="Z5" s="543">
        <f t="shared" ref="Z5" si="7">Y5+Y5*X140</f>
        <v>14504.489808321709</v>
      </c>
      <c r="AA5" s="543">
        <f t="shared" ref="AA5" si="8">Z5+Z5*Y140</f>
        <v>14287.295942620503</v>
      </c>
      <c r="AB5" s="543">
        <f t="shared" ref="AB5" si="9">AA5+AA5*Z140</f>
        <v>14073.354392300373</v>
      </c>
    </row>
    <row r="6" spans="2:28" hidden="1">
      <c r="B6" s="539" t="s">
        <v>40</v>
      </c>
      <c r="C6" s="539" t="s">
        <v>41</v>
      </c>
      <c r="D6" s="539" t="s">
        <v>30</v>
      </c>
      <c r="E6" s="540" t="s">
        <v>99</v>
      </c>
      <c r="F6" s="546">
        <v>79583</v>
      </c>
      <c r="G6" s="541">
        <v>79368</v>
      </c>
      <c r="H6" s="541">
        <v>79027</v>
      </c>
      <c r="I6" s="541">
        <v>78758</v>
      </c>
      <c r="J6" s="541">
        <v>78635</v>
      </c>
      <c r="K6" s="541">
        <v>78484</v>
      </c>
      <c r="L6" s="541">
        <v>78327</v>
      </c>
      <c r="M6" s="541">
        <v>78084</v>
      </c>
      <c r="N6" s="541">
        <v>77719</v>
      </c>
      <c r="O6" s="541">
        <v>75317</v>
      </c>
      <c r="P6" s="543">
        <v>74590</v>
      </c>
      <c r="Q6" s="547"/>
      <c r="R6" s="543">
        <f>Tabuľka15[[#This Row],[2022]]+P6*Q141</f>
        <v>74110.983598033185</v>
      </c>
      <c r="S6" s="543">
        <f t="shared" si="0"/>
        <v>73635.043435687679</v>
      </c>
      <c r="T6" s="543">
        <f t="shared" ref="T6:T37" si="10">S6+S6*R141</f>
        <v>73162.159757376474</v>
      </c>
      <c r="U6" s="543">
        <f t="shared" ref="U6:U37" si="11">T6+T6*S141</f>
        <v>72692.31293438279</v>
      </c>
      <c r="V6" s="543">
        <f t="shared" ref="V6:V37" si="12">U6+U6*T141</f>
        <v>72225.483464045305</v>
      </c>
      <c r="W6" s="543">
        <f t="shared" ref="W6:W37" si="13">V6+V6*U141</f>
        <v>71761.651968948645</v>
      </c>
      <c r="X6" s="543">
        <f t="shared" ref="X6:X37" si="14">W6+W6*V141</f>
        <v>71300.799196119042</v>
      </c>
      <c r="Y6" s="543">
        <f t="shared" ref="Y6:Y37" si="15">X6+X6*W141</f>
        <v>70842.906016225184</v>
      </c>
      <c r="Z6" s="543">
        <f t="shared" ref="Z6:Z37" si="16">Y6+Y6*X141</f>
        <v>70387.95342278418</v>
      </c>
      <c r="AA6" s="543">
        <f t="shared" ref="AA6:AA37" si="17">Z6+Z6*Y141</f>
        <v>69935.922531372606</v>
      </c>
      <c r="AB6" s="543">
        <f t="shared" ref="AB6:AB37" si="18">AA6+AA6*Z141</f>
        <v>69486.794578842673</v>
      </c>
    </row>
    <row r="7" spans="2:28">
      <c r="B7" s="539" t="s">
        <v>59</v>
      </c>
      <c r="C7" s="539" t="s">
        <v>41</v>
      </c>
      <c r="D7" s="539" t="s">
        <v>34</v>
      </c>
      <c r="E7" s="540" t="s">
        <v>36</v>
      </c>
      <c r="F7" s="546">
        <v>33451</v>
      </c>
      <c r="G7" s="541">
        <v>33296</v>
      </c>
      <c r="H7" s="541">
        <v>33060</v>
      </c>
      <c r="I7" s="541">
        <v>32912</v>
      </c>
      <c r="J7" s="541">
        <v>32699</v>
      </c>
      <c r="K7" s="541">
        <v>32587</v>
      </c>
      <c r="L7" s="541">
        <v>32449</v>
      </c>
      <c r="M7" s="541">
        <v>32293</v>
      </c>
      <c r="N7" s="541">
        <v>32099</v>
      </c>
      <c r="O7" s="541">
        <v>30579</v>
      </c>
      <c r="P7" s="543">
        <v>30267</v>
      </c>
      <c r="Q7" s="547"/>
      <c r="R7" s="543">
        <f>Tabuľka15[[#This Row],[2022]]+P7*Q142</f>
        <v>29968.259528924656</v>
      </c>
      <c r="S7" s="543">
        <f t="shared" si="0"/>
        <v>29672.467677436925</v>
      </c>
      <c r="T7" s="543">
        <f t="shared" si="10"/>
        <v>29379.595342156739</v>
      </c>
      <c r="U7" s="543">
        <f t="shared" si="11"/>
        <v>29089.613706959368</v>
      </c>
      <c r="V7" s="543">
        <f t="shared" si="12"/>
        <v>28802.494240140164</v>
      </c>
      <c r="W7" s="543">
        <f t="shared" si="13"/>
        <v>28518.208691607295</v>
      </c>
      <c r="X7" s="543">
        <f t="shared" si="14"/>
        <v>28236.729090102166</v>
      </c>
      <c r="Y7" s="543">
        <f t="shared" si="15"/>
        <v>27958.027740447294</v>
      </c>
      <c r="Z7" s="543">
        <f t="shared" si="16"/>
        <v>27682.077220821342</v>
      </c>
      <c r="AA7" s="543">
        <f t="shared" si="17"/>
        <v>27408.850380061034</v>
      </c>
      <c r="AB7" s="543">
        <f t="shared" si="18"/>
        <v>27138.320334989734</v>
      </c>
    </row>
    <row r="8" spans="2:28">
      <c r="B8" s="539" t="s">
        <v>759</v>
      </c>
      <c r="C8" s="539" t="s">
        <v>41</v>
      </c>
      <c r="D8" s="539" t="s">
        <v>23</v>
      </c>
      <c r="E8" s="540" t="s">
        <v>24</v>
      </c>
      <c r="F8" s="546">
        <v>4925</v>
      </c>
      <c r="G8" s="541">
        <v>4921</v>
      </c>
      <c r="H8" s="541">
        <v>4900</v>
      </c>
      <c r="I8" s="541">
        <v>4941</v>
      </c>
      <c r="J8" s="541">
        <v>4922</v>
      </c>
      <c r="K8" s="541">
        <v>4934</v>
      </c>
      <c r="L8" s="541">
        <v>4952</v>
      </c>
      <c r="M8" s="541">
        <v>4992</v>
      </c>
      <c r="N8" s="541">
        <v>5022</v>
      </c>
      <c r="O8" s="541">
        <v>4983</v>
      </c>
      <c r="P8" s="543">
        <v>5035</v>
      </c>
      <c r="Q8" s="547"/>
      <c r="R8" s="543">
        <f>Tabuľka15[[#This Row],[2022]]+P8*Q143</f>
        <v>5046.220680029196</v>
      </c>
      <c r="S8" s="543">
        <f t="shared" si="0"/>
        <v>5057.4663657506107</v>
      </c>
      <c r="T8" s="543">
        <f t="shared" si="10"/>
        <v>5068.7371128903342</v>
      </c>
      <c r="U8" s="543">
        <f t="shared" si="11"/>
        <v>5080.032977298647</v>
      </c>
      <c r="V8" s="543">
        <f t="shared" si="12"/>
        <v>5091.3540149502924</v>
      </c>
      <c r="W8" s="543">
        <f t="shared" si="13"/>
        <v>5102.7002819447553</v>
      </c>
      <c r="X8" s="543">
        <f t="shared" si="14"/>
        <v>5114.0718345065407</v>
      </c>
      <c r="Y8" s="543">
        <f t="shared" si="15"/>
        <v>5125.4687289854528</v>
      </c>
      <c r="Z8" s="543">
        <f t="shared" si="16"/>
        <v>5136.8910218568726</v>
      </c>
      <c r="AA8" s="543">
        <f t="shared" si="17"/>
        <v>5148.3387697220378</v>
      </c>
      <c r="AB8" s="543">
        <f t="shared" si="18"/>
        <v>5159.8120293083248</v>
      </c>
    </row>
    <row r="9" spans="2:28" hidden="1">
      <c r="B9" s="539" t="s">
        <v>43</v>
      </c>
      <c r="C9" s="539" t="s">
        <v>41</v>
      </c>
      <c r="D9" s="539" t="s">
        <v>18</v>
      </c>
      <c r="E9" s="540" t="s">
        <v>807</v>
      </c>
      <c r="F9" s="546">
        <v>415589</v>
      </c>
      <c r="G9" s="541">
        <v>417389</v>
      </c>
      <c r="H9" s="541">
        <v>419678</v>
      </c>
      <c r="I9" s="541">
        <v>422932</v>
      </c>
      <c r="J9" s="541">
        <v>425923</v>
      </c>
      <c r="K9" s="541">
        <v>429564</v>
      </c>
      <c r="L9" s="541">
        <v>432864</v>
      </c>
      <c r="M9" s="541">
        <v>437726</v>
      </c>
      <c r="N9" s="541">
        <v>440948</v>
      </c>
      <c r="O9" s="541">
        <v>475577</v>
      </c>
      <c r="P9" s="543">
        <v>476922</v>
      </c>
      <c r="Q9" s="548"/>
      <c r="R9" s="543">
        <f>Tabuľka15[[#This Row],[2022]]+P9*Q144</f>
        <v>483638.29061362607</v>
      </c>
      <c r="S9" s="543">
        <f t="shared" si="0"/>
        <v>490449.16390451737</v>
      </c>
      <c r="T9" s="543">
        <f t="shared" si="10"/>
        <v>497355.95184047474</v>
      </c>
      <c r="U9" s="543">
        <f t="shared" si="11"/>
        <v>504360.00514683774</v>
      </c>
      <c r="V9" s="543">
        <f t="shared" si="12"/>
        <v>511462.69357063889</v>
      </c>
      <c r="W9" s="543">
        <f t="shared" si="13"/>
        <v>518665.40614847845</v>
      </c>
      <c r="X9" s="543">
        <f t="shared" si="14"/>
        <v>525969.55147817091</v>
      </c>
      <c r="Y9" s="543">
        <f t="shared" si="15"/>
        <v>533376.5579942175</v>
      </c>
      <c r="Z9" s="543">
        <f t="shared" si="16"/>
        <v>540887.87424715771</v>
      </c>
      <c r="AA9" s="543">
        <f t="shared" si="17"/>
        <v>548504.96918685513</v>
      </c>
      <c r="AB9" s="543">
        <f t="shared" si="18"/>
        <v>556229.33244977216</v>
      </c>
    </row>
    <row r="10" spans="2:28" hidden="1">
      <c r="B10" s="539" t="s">
        <v>760</v>
      </c>
      <c r="C10" s="539" t="s">
        <v>41</v>
      </c>
      <c r="D10" s="539" t="s">
        <v>30</v>
      </c>
      <c r="E10" s="540" t="s">
        <v>32</v>
      </c>
      <c r="F10" s="546">
        <v>21703</v>
      </c>
      <c r="G10" s="541">
        <v>21534</v>
      </c>
      <c r="H10" s="541">
        <v>21331</v>
      </c>
      <c r="I10" s="541">
        <v>21215</v>
      </c>
      <c r="J10" s="541">
        <v>21148</v>
      </c>
      <c r="K10" s="541">
        <v>21082</v>
      </c>
      <c r="L10" s="541">
        <v>20953</v>
      </c>
      <c r="M10" s="542">
        <v>20889</v>
      </c>
      <c r="N10" s="542">
        <v>20736</v>
      </c>
      <c r="O10" s="541">
        <v>19956</v>
      </c>
      <c r="P10" s="543">
        <v>19866</v>
      </c>
      <c r="Q10" s="547"/>
      <c r="R10" s="543">
        <f>Tabuľka15[[#This Row],[2022]]+P10*Q145</f>
        <v>19692.064219016254</v>
      </c>
      <c r="S10" s="543">
        <f t="shared" si="0"/>
        <v>19519.651324164915</v>
      </c>
      <c r="T10" s="543">
        <f t="shared" si="10"/>
        <v>19348.747981891735</v>
      </c>
      <c r="U10" s="543">
        <f t="shared" si="11"/>
        <v>19179.34097538373</v>
      </c>
      <c r="V10" s="543">
        <f t="shared" si="12"/>
        <v>19011.417203547076</v>
      </c>
      <c r="W10" s="543">
        <f t="shared" si="13"/>
        <v>18844.963679993933</v>
      </c>
      <c r="X10" s="543">
        <f t="shared" si="14"/>
        <v>18679.967532038125</v>
      </c>
      <c r="Y10" s="543">
        <f t="shared" si="15"/>
        <v>18516.415999699653</v>
      </c>
      <c r="Z10" s="543">
        <f t="shared" si="16"/>
        <v>18354.296434717889</v>
      </c>
      <c r="AA10" s="543">
        <f t="shared" si="17"/>
        <v>18193.59629957343</v>
      </c>
      <c r="AB10" s="543">
        <f t="shared" si="18"/>
        <v>18034.303166518497</v>
      </c>
    </row>
    <row r="11" spans="2:28" hidden="1">
      <c r="B11" s="539" t="s">
        <v>761</v>
      </c>
      <c r="C11" s="539" t="s">
        <v>41</v>
      </c>
      <c r="D11" s="539" t="s">
        <v>26</v>
      </c>
      <c r="E11" s="540" t="s">
        <v>808</v>
      </c>
      <c r="F11" s="541">
        <v>24791</v>
      </c>
      <c r="G11" s="541">
        <v>24739</v>
      </c>
      <c r="H11" s="541">
        <v>24670</v>
      </c>
      <c r="I11" s="541">
        <v>24579</v>
      </c>
      <c r="J11" s="541">
        <v>24431</v>
      </c>
      <c r="K11" s="541">
        <v>24315</v>
      </c>
      <c r="L11" s="541">
        <v>24114</v>
      </c>
      <c r="M11" s="541">
        <v>23941</v>
      </c>
      <c r="N11" s="541">
        <v>23702</v>
      </c>
      <c r="O11" s="541">
        <v>22963</v>
      </c>
      <c r="P11" s="543">
        <v>22730</v>
      </c>
      <c r="Q11" s="25"/>
      <c r="R11" s="543">
        <f>Tabuľka15[[#This Row],[2022]]+P11*Q146</f>
        <v>22534.308327719504</v>
      </c>
      <c r="S11" s="543">
        <f t="shared" si="0"/>
        <v>22340.301443410848</v>
      </c>
      <c r="T11" s="543">
        <f t="shared" si="10"/>
        <v>22147.964842059704</v>
      </c>
      <c r="U11" s="543">
        <f t="shared" si="11"/>
        <v>21957.284143531226</v>
      </c>
      <c r="V11" s="543">
        <f t="shared" si="12"/>
        <v>21768.2450914949</v>
      </c>
      <c r="W11" s="543">
        <f t="shared" si="13"/>
        <v>21580.833552358676</v>
      </c>
      <c r="X11" s="543">
        <f t="shared" si="14"/>
        <v>21395.035514212253</v>
      </c>
      <c r="Y11" s="543">
        <f t="shared" si="15"/>
        <v>21210.837085779483</v>
      </c>
      <c r="Z11" s="543">
        <f t="shared" si="16"/>
        <v>21028.224495379774</v>
      </c>
      <c r="AA11" s="543">
        <f t="shared" si="17"/>
        <v>20847.184089898445</v>
      </c>
      <c r="AB11" s="543">
        <f t="shared" si="18"/>
        <v>20667.702333765948</v>
      </c>
    </row>
    <row r="12" spans="2:28" hidden="1">
      <c r="B12" s="539" t="s">
        <v>762</v>
      </c>
      <c r="C12" s="539" t="s">
        <v>41</v>
      </c>
      <c r="D12" s="539" t="s">
        <v>26</v>
      </c>
      <c r="E12" s="540" t="s">
        <v>809</v>
      </c>
      <c r="F12" s="541">
        <v>19472</v>
      </c>
      <c r="G12" s="541">
        <v>19424</v>
      </c>
      <c r="H12" s="541">
        <v>19291</v>
      </c>
      <c r="I12" s="541">
        <v>19196</v>
      </c>
      <c r="J12" s="541">
        <v>18995</v>
      </c>
      <c r="K12" s="541">
        <v>18905</v>
      </c>
      <c r="L12" s="541">
        <v>18821</v>
      </c>
      <c r="M12" s="541">
        <v>18665</v>
      </c>
      <c r="N12" s="541">
        <v>18550</v>
      </c>
      <c r="O12" s="541">
        <v>17916</v>
      </c>
      <c r="P12" s="543">
        <v>17720</v>
      </c>
      <c r="Q12" s="25"/>
      <c r="R12" s="543">
        <f>Tabuľka15[[#This Row],[2022]]+P12*Q147</f>
        <v>17554.394442791909</v>
      </c>
      <c r="S12" s="543">
        <f t="shared" si="0"/>
        <v>17390.336583133379</v>
      </c>
      <c r="T12" s="543">
        <f t="shared" si="10"/>
        <v>17227.811956728976</v>
      </c>
      <c r="U12" s="543">
        <f t="shared" si="11"/>
        <v>17066.80623446203</v>
      </c>
      <c r="V12" s="543">
        <f t="shared" si="12"/>
        <v>16907.305221131297</v>
      </c>
      <c r="W12" s="543">
        <f t="shared" si="13"/>
        <v>16749.29485419943</v>
      </c>
      <c r="X12" s="543">
        <f t="shared" si="14"/>
        <v>16592.761202553138</v>
      </c>
      <c r="Y12" s="543">
        <f t="shared" si="15"/>
        <v>16437.690465274944</v>
      </c>
      <c r="Z12" s="543">
        <f t="shared" si="16"/>
        <v>16284.068970426413</v>
      </c>
      <c r="AA12" s="543">
        <f t="shared" si="17"/>
        <v>16131.883173842754</v>
      </c>
      <c r="AB12" s="543">
        <f t="shared" si="18"/>
        <v>15981.119657938689</v>
      </c>
    </row>
    <row r="13" spans="2:28">
      <c r="B13" s="539" t="s">
        <v>763</v>
      </c>
      <c r="C13" s="539" t="s">
        <v>41</v>
      </c>
      <c r="D13" s="539" t="s">
        <v>20</v>
      </c>
      <c r="E13" s="540" t="s">
        <v>810</v>
      </c>
      <c r="F13" s="541">
        <v>22561</v>
      </c>
      <c r="G13" s="541">
        <v>22481</v>
      </c>
      <c r="H13" s="541">
        <v>22553</v>
      </c>
      <c r="I13" s="541">
        <v>22652</v>
      </c>
      <c r="J13" s="541">
        <v>22641</v>
      </c>
      <c r="K13" s="541">
        <v>22643</v>
      </c>
      <c r="L13" s="541">
        <v>22730</v>
      </c>
      <c r="M13" s="542">
        <v>22684</v>
      </c>
      <c r="N13" s="542">
        <v>22620</v>
      </c>
      <c r="O13" s="541">
        <v>23009</v>
      </c>
      <c r="P13" s="543">
        <v>22892</v>
      </c>
      <c r="Q13" s="25"/>
      <c r="R13" s="543">
        <f>Tabuľka15[[#This Row],[2022]]+P13*Q148</f>
        <v>22925.785092261798</v>
      </c>
      <c r="S13" s="543">
        <f t="shared" si="0"/>
        <v>22959.620046154694</v>
      </c>
      <c r="T13" s="543">
        <f t="shared" si="10"/>
        <v>22993.504935266836</v>
      </c>
      <c r="U13" s="543">
        <f t="shared" si="11"/>
        <v>23027.439833294971</v>
      </c>
      <c r="V13" s="543">
        <f t="shared" si="12"/>
        <v>23061.424814044618</v>
      </c>
      <c r="W13" s="543">
        <f t="shared" si="13"/>
        <v>23095.459951430214</v>
      </c>
      <c r="X13" s="543">
        <f t="shared" si="14"/>
        <v>23129.545319475284</v>
      </c>
      <c r="Y13" s="543">
        <f t="shared" si="15"/>
        <v>23163.680992312602</v>
      </c>
      <c r="Z13" s="543">
        <f t="shared" si="16"/>
        <v>23197.867044184353</v>
      </c>
      <c r="AA13" s="543">
        <f t="shared" si="17"/>
        <v>23232.10354944229</v>
      </c>
      <c r="AB13" s="543">
        <f t="shared" si="18"/>
        <v>23266.390582547898</v>
      </c>
    </row>
    <row r="14" spans="2:28">
      <c r="B14" s="539" t="s">
        <v>764</v>
      </c>
      <c r="C14" s="539" t="s">
        <v>41</v>
      </c>
      <c r="D14" s="539" t="s">
        <v>20</v>
      </c>
      <c r="E14" s="540" t="s">
        <v>810</v>
      </c>
      <c r="F14" s="541">
        <v>15021</v>
      </c>
      <c r="G14" s="541">
        <v>15063</v>
      </c>
      <c r="H14" s="541">
        <v>14977</v>
      </c>
      <c r="I14" s="541">
        <v>15021</v>
      </c>
      <c r="J14" s="541">
        <v>15054</v>
      </c>
      <c r="K14" s="541">
        <v>15029</v>
      </c>
      <c r="L14" s="541">
        <v>15013</v>
      </c>
      <c r="M14" s="542">
        <v>14990</v>
      </c>
      <c r="N14" s="542">
        <v>15060</v>
      </c>
      <c r="O14" s="541">
        <v>15098</v>
      </c>
      <c r="P14" s="543">
        <v>15277</v>
      </c>
      <c r="Q14" s="25"/>
      <c r="R14" s="543">
        <f>Tabuľka15[[#This Row],[2022]]+P14*Q149</f>
        <v>15302.990892590715</v>
      </c>
      <c r="S14" s="543">
        <f t="shared" si="0"/>
        <v>15329.026003712403</v>
      </c>
      <c r="T14" s="543">
        <f t="shared" si="10"/>
        <v>15355.105408594432</v>
      </c>
      <c r="U14" s="543">
        <f t="shared" si="11"/>
        <v>15381.229182594163</v>
      </c>
      <c r="V14" s="543">
        <f t="shared" si="12"/>
        <v>15407.39740119716</v>
      </c>
      <c r="W14" s="543">
        <f t="shared" si="13"/>
        <v>15433.610140017412</v>
      </c>
      <c r="X14" s="543">
        <f t="shared" si="14"/>
        <v>15459.867474797549</v>
      </c>
      <c r="Y14" s="543">
        <f t="shared" si="15"/>
        <v>15486.169481409066</v>
      </c>
      <c r="Z14" s="543">
        <f t="shared" si="16"/>
        <v>15512.516235852538</v>
      </c>
      <c r="AA14" s="543">
        <f t="shared" si="17"/>
        <v>15538.907814257838</v>
      </c>
      <c r="AB14" s="543">
        <f t="shared" si="18"/>
        <v>15565.344292884361</v>
      </c>
    </row>
    <row r="15" spans="2:28">
      <c r="B15" s="539" t="s">
        <v>765</v>
      </c>
      <c r="C15" s="539" t="s">
        <v>41</v>
      </c>
      <c r="D15" s="539" t="s">
        <v>23</v>
      </c>
      <c r="E15" s="540" t="s">
        <v>811</v>
      </c>
      <c r="F15" s="541">
        <v>17664</v>
      </c>
      <c r="G15" s="541">
        <v>17615</v>
      </c>
      <c r="H15" s="541">
        <v>17518</v>
      </c>
      <c r="I15" s="541">
        <v>17385</v>
      </c>
      <c r="J15" s="541">
        <v>17260</v>
      </c>
      <c r="K15" s="541">
        <v>17119</v>
      </c>
      <c r="L15" s="541">
        <v>16999</v>
      </c>
      <c r="M15" s="542">
        <v>16890</v>
      </c>
      <c r="N15" s="542">
        <v>16663</v>
      </c>
      <c r="O15" s="541">
        <v>16007</v>
      </c>
      <c r="P15" s="543">
        <v>15780</v>
      </c>
      <c r="Q15" s="25"/>
      <c r="R15" s="543">
        <f>Tabuľka15[[#This Row],[2022]]+P15*Q150</f>
        <v>15603.825913401075</v>
      </c>
      <c r="S15" s="543">
        <f t="shared" si="0"/>
        <v>15429.61870315126</v>
      </c>
      <c r="T15" s="543">
        <f t="shared" si="10"/>
        <v>15257.356410274368</v>
      </c>
      <c r="U15" s="543">
        <f t="shared" si="11"/>
        <v>15087.0173209528</v>
      </c>
      <c r="V15" s="543">
        <f t="shared" si="12"/>
        <v>14918.579963790506</v>
      </c>
      <c r="W15" s="543">
        <f t="shared" si="13"/>
        <v>14752.023107106486</v>
      </c>
      <c r="X15" s="543">
        <f t="shared" si="14"/>
        <v>14587.325756258531</v>
      </c>
      <c r="Y15" s="543">
        <f t="shared" si="15"/>
        <v>14424.467150996819</v>
      </c>
      <c r="Z15" s="543">
        <f t="shared" si="16"/>
        <v>14263.42676284707</v>
      </c>
      <c r="AA15" s="543">
        <f t="shared" si="17"/>
        <v>14104.18429252291</v>
      </c>
      <c r="AB15" s="543">
        <f t="shared" si="18"/>
        <v>13946.719667367135</v>
      </c>
    </row>
    <row r="16" spans="2:28">
      <c r="B16" s="539" t="s">
        <v>766</v>
      </c>
      <c r="C16" s="539" t="s">
        <v>41</v>
      </c>
      <c r="D16" s="539" t="s">
        <v>20</v>
      </c>
      <c r="E16" s="540" t="s">
        <v>21</v>
      </c>
      <c r="F16" s="541">
        <v>22570</v>
      </c>
      <c r="G16" s="541">
        <v>22441</v>
      </c>
      <c r="H16" s="541">
        <v>22264</v>
      </c>
      <c r="I16" s="541">
        <v>22079</v>
      </c>
      <c r="J16" s="541">
        <v>21933</v>
      </c>
      <c r="K16" s="541">
        <v>21715</v>
      </c>
      <c r="L16" s="541">
        <v>21508</v>
      </c>
      <c r="M16" s="542">
        <v>21301</v>
      </c>
      <c r="N16" s="542">
        <v>21067</v>
      </c>
      <c r="O16" s="541">
        <v>20274</v>
      </c>
      <c r="P16" s="543">
        <v>19992</v>
      </c>
      <c r="Q16" s="25"/>
      <c r="R16" s="543">
        <f>Tabuľka15[[#This Row],[2022]]+P16*Q151</f>
        <v>19751.780496228152</v>
      </c>
      <c r="S16" s="543">
        <f t="shared" si="0"/>
        <v>19514.447417525949</v>
      </c>
      <c r="T16" s="543">
        <f t="shared" si="10"/>
        <v>19279.96608124044</v>
      </c>
      <c r="U16" s="543">
        <f t="shared" si="11"/>
        <v>19048.302221457845</v>
      </c>
      <c r="V16" s="543">
        <f t="shared" si="12"/>
        <v>18819.421983996119</v>
      </c>
      <c r="W16" s="543">
        <f t="shared" si="13"/>
        <v>18593.291921457676</v>
      </c>
      <c r="X16" s="543">
        <f t="shared" si="14"/>
        <v>18369.878988341545</v>
      </c>
      <c r="Y16" s="543">
        <f t="shared" si="15"/>
        <v>18149.150536214278</v>
      </c>
      <c r="Z16" s="543">
        <f t="shared" si="16"/>
        <v>17931.074308938871</v>
      </c>
      <c r="AA16" s="543">
        <f t="shared" si="17"/>
        <v>17715.618437961006</v>
      </c>
      <c r="AB16" s="543">
        <f t="shared" si="18"/>
        <v>17502.751437651961</v>
      </c>
    </row>
    <row r="17" spans="2:28" hidden="1">
      <c r="B17" s="539" t="s">
        <v>767</v>
      </c>
      <c r="C17" s="539" t="s">
        <v>41</v>
      </c>
      <c r="D17" s="539" t="s">
        <v>30</v>
      </c>
      <c r="E17" s="540" t="s">
        <v>812</v>
      </c>
      <c r="F17" s="541">
        <v>7793</v>
      </c>
      <c r="G17" s="541">
        <v>7696</v>
      </c>
      <c r="H17" s="541">
        <v>7654</v>
      </c>
      <c r="I17" s="541">
        <v>7612</v>
      </c>
      <c r="J17" s="541">
        <v>7568</v>
      </c>
      <c r="K17" s="541">
        <v>7535</v>
      </c>
      <c r="L17" s="541">
        <v>7484</v>
      </c>
      <c r="M17" s="541">
        <v>7415</v>
      </c>
      <c r="N17" s="541">
        <v>7365</v>
      </c>
      <c r="O17" s="541">
        <v>7095</v>
      </c>
      <c r="P17" s="543">
        <v>7068</v>
      </c>
      <c r="Q17" s="25"/>
      <c r="R17" s="543">
        <f>Tabuľka15[[#This Row],[2022]]+P17*Q152</f>
        <v>6999.6318489217592</v>
      </c>
      <c r="S17" s="543">
        <f t="shared" si="0"/>
        <v>6931.9250170401592</v>
      </c>
      <c r="T17" s="543">
        <f t="shared" si="10"/>
        <v>6864.873107471959</v>
      </c>
      <c r="U17" s="543">
        <f t="shared" si="11"/>
        <v>6798.4697852104146</v>
      </c>
      <c r="V17" s="543">
        <f t="shared" si="12"/>
        <v>6732.7087765267524</v>
      </c>
      <c r="W17" s="543">
        <f t="shared" si="13"/>
        <v>6667.5838683774346</v>
      </c>
      <c r="X17" s="543">
        <f t="shared" si="14"/>
        <v>6603.0889078171531</v>
      </c>
      <c r="Y17" s="543">
        <f t="shared" si="15"/>
        <v>6539.217801417507</v>
      </c>
      <c r="Z17" s="543">
        <f t="shared" si="16"/>
        <v>6475.964514691299</v>
      </c>
      <c r="AA17" s="543">
        <f t="shared" si="17"/>
        <v>6413.3230715224054</v>
      </c>
      <c r="AB17" s="543">
        <f t="shared" si="18"/>
        <v>6351.2875536011525</v>
      </c>
    </row>
    <row r="18" spans="2:28">
      <c r="B18" s="539" t="s">
        <v>768</v>
      </c>
      <c r="C18" s="539" t="s">
        <v>41</v>
      </c>
      <c r="D18" s="539" t="s">
        <v>34</v>
      </c>
      <c r="E18" s="540" t="s">
        <v>813</v>
      </c>
      <c r="F18" s="541">
        <v>34634</v>
      </c>
      <c r="G18" s="541">
        <v>34455</v>
      </c>
      <c r="H18" s="541">
        <v>34186</v>
      </c>
      <c r="I18" s="541">
        <v>33945</v>
      </c>
      <c r="J18" s="541">
        <v>33660</v>
      </c>
      <c r="K18" s="541">
        <v>33441</v>
      </c>
      <c r="L18" s="541">
        <v>33191</v>
      </c>
      <c r="M18" s="542">
        <v>32834</v>
      </c>
      <c r="N18" s="542">
        <v>32491</v>
      </c>
      <c r="O18" s="541">
        <v>30925</v>
      </c>
      <c r="P18" s="543">
        <v>30450</v>
      </c>
      <c r="Q18" s="25"/>
      <c r="R18" s="543">
        <f>Tabuľka15[[#This Row],[2022]]+P18*Q153</f>
        <v>30062.787348033948</v>
      </c>
      <c r="S18" s="543">
        <f t="shared" si="0"/>
        <v>29680.498625061085</v>
      </c>
      <c r="T18" s="543">
        <f t="shared" si="10"/>
        <v>29303.071216710192</v>
      </c>
      <c r="U18" s="543">
        <f t="shared" si="11"/>
        <v>28930.443304835891</v>
      </c>
      <c r="V18" s="543">
        <f t="shared" si="12"/>
        <v>28562.553857393559</v>
      </c>
      <c r="W18" s="543">
        <f t="shared" si="13"/>
        <v>28199.342618442999</v>
      </c>
      <c r="X18" s="543">
        <f t="shared" si="14"/>
        <v>27840.750098279233</v>
      </c>
      <c r="Y18" s="543">
        <f t="shared" si="15"/>
        <v>27486.717563688795</v>
      </c>
      <c r="Z18" s="543">
        <f t="shared" si="16"/>
        <v>27137.187028329918</v>
      </c>
      <c r="AA18" s="543">
        <f t="shared" si="17"/>
        <v>26792.101243235062</v>
      </c>
      <c r="AB18" s="543">
        <f t="shared" si="18"/>
        <v>26451.403687434209</v>
      </c>
    </row>
    <row r="19" spans="2:28">
      <c r="B19" s="539" t="s">
        <v>769</v>
      </c>
      <c r="C19" s="539" t="s">
        <v>41</v>
      </c>
      <c r="D19" s="539" t="s">
        <v>34</v>
      </c>
      <c r="E19" s="540" t="s">
        <v>35</v>
      </c>
      <c r="F19" s="541">
        <v>16774</v>
      </c>
      <c r="G19" s="541">
        <v>16693</v>
      </c>
      <c r="H19" s="541">
        <v>16636</v>
      </c>
      <c r="I19" s="541">
        <v>16558</v>
      </c>
      <c r="J19" s="541">
        <v>16562</v>
      </c>
      <c r="K19" s="541">
        <v>16481</v>
      </c>
      <c r="L19" s="541">
        <v>16381</v>
      </c>
      <c r="M19" s="541">
        <v>16346</v>
      </c>
      <c r="N19" s="541">
        <v>16268</v>
      </c>
      <c r="O19" s="541">
        <v>15379</v>
      </c>
      <c r="P19" s="543">
        <v>15304</v>
      </c>
      <c r="Q19" s="25"/>
      <c r="R19" s="543">
        <f>Tabuľka15[[#This Row],[2022]]+P19*Q154</f>
        <v>15166.139675086857</v>
      </c>
      <c r="S19" s="543">
        <f t="shared" si="0"/>
        <v>15029.521213032127</v>
      </c>
      <c r="T19" s="543">
        <f t="shared" si="10"/>
        <v>14894.133426981578</v>
      </c>
      <c r="U19" s="543">
        <f t="shared" si="11"/>
        <v>14759.965230853546</v>
      </c>
      <c r="V19" s="543">
        <f t="shared" si="12"/>
        <v>14627.005638431161</v>
      </c>
      <c r="W19" s="543">
        <f t="shared" si="13"/>
        <v>14495.243762462755</v>
      </c>
      <c r="X19" s="543">
        <f t="shared" si="14"/>
        <v>14364.668813770364</v>
      </c>
      <c r="Y19" s="543">
        <f t="shared" si="15"/>
        <v>14235.270100366281</v>
      </c>
      <c r="Z19" s="543">
        <f t="shared" si="16"/>
        <v>14107.037026577542</v>
      </c>
      <c r="AA19" s="543">
        <f t="shared" si="17"/>
        <v>13979.959092178318</v>
      </c>
      <c r="AB19" s="543">
        <f t="shared" si="18"/>
        <v>13854.025891530111</v>
      </c>
    </row>
    <row r="20" spans="2:28">
      <c r="B20" s="539" t="s">
        <v>770</v>
      </c>
      <c r="C20" s="539" t="s">
        <v>41</v>
      </c>
      <c r="D20" s="539" t="s">
        <v>28</v>
      </c>
      <c r="E20" s="540" t="s">
        <v>814</v>
      </c>
      <c r="F20" s="541">
        <v>34638</v>
      </c>
      <c r="G20" s="541">
        <v>34561</v>
      </c>
      <c r="H20" s="541">
        <v>34461</v>
      </c>
      <c r="I20" s="541">
        <v>34333</v>
      </c>
      <c r="J20" s="541">
        <v>34190</v>
      </c>
      <c r="K20" s="541">
        <v>34160</v>
      </c>
      <c r="L20" s="541">
        <v>33927</v>
      </c>
      <c r="M20" s="541">
        <v>33751</v>
      </c>
      <c r="N20" s="541">
        <v>33539</v>
      </c>
      <c r="O20" s="541">
        <v>32643</v>
      </c>
      <c r="P20" s="543">
        <v>32287</v>
      </c>
      <c r="Q20" s="25"/>
      <c r="R20" s="543">
        <f>Tabuľka15[[#This Row],[2022]]+P20*Q155</f>
        <v>32061.688127666548</v>
      </c>
      <c r="S20" s="543">
        <f t="shared" si="0"/>
        <v>31837.94857359786</v>
      </c>
      <c r="T20" s="543">
        <f t="shared" si="10"/>
        <v>31615.770365514934</v>
      </c>
      <c r="U20" s="543">
        <f t="shared" si="11"/>
        <v>31395.14260770781</v>
      </c>
      <c r="V20" s="543">
        <f t="shared" si="12"/>
        <v>31176.054480501247</v>
      </c>
      <c r="W20" s="543">
        <f t="shared" si="13"/>
        <v>30958.49523972411</v>
      </c>
      <c r="X20" s="543">
        <f t="shared" si="14"/>
        <v>30742.454216182487</v>
      </c>
      <c r="Y20" s="543">
        <f t="shared" si="15"/>
        <v>30527.920815136447</v>
      </c>
      <c r="Z20" s="543">
        <f t="shared" si="16"/>
        <v>30314.884515780494</v>
      </c>
      <c r="AA20" s="543">
        <f t="shared" si="17"/>
        <v>30103.334870727598</v>
      </c>
      <c r="AB20" s="543">
        <f t="shared" si="18"/>
        <v>29893.26150549687</v>
      </c>
    </row>
    <row r="21" spans="2:28">
      <c r="B21" s="539" t="s">
        <v>44</v>
      </c>
      <c r="C21" s="539" t="s">
        <v>41</v>
      </c>
      <c r="D21" s="539" t="s">
        <v>38</v>
      </c>
      <c r="E21" s="540" t="s">
        <v>815</v>
      </c>
      <c r="F21" s="541">
        <v>240164</v>
      </c>
      <c r="G21" s="541">
        <v>239797</v>
      </c>
      <c r="H21" s="541">
        <v>239464</v>
      </c>
      <c r="I21" s="541">
        <v>239200</v>
      </c>
      <c r="J21" s="541">
        <v>239141</v>
      </c>
      <c r="K21" s="541">
        <v>239095</v>
      </c>
      <c r="L21" s="541">
        <v>238757</v>
      </c>
      <c r="M21" s="541">
        <v>238593</v>
      </c>
      <c r="N21" s="541">
        <v>238138</v>
      </c>
      <c r="O21" s="541">
        <v>227458</v>
      </c>
      <c r="P21" s="543">
        <v>226212</v>
      </c>
      <c r="Q21" s="25"/>
      <c r="R21" s="543">
        <f>Tabuľka15[[#This Row],[2022]]+P21*Q156</f>
        <v>224882.06079705755</v>
      </c>
      <c r="S21" s="543">
        <f t="shared" si="0"/>
        <v>223559.94053512407</v>
      </c>
      <c r="T21" s="543">
        <f t="shared" si="10"/>
        <v>222245.59324530239</v>
      </c>
      <c r="U21" s="543">
        <f t="shared" si="11"/>
        <v>220938.9732289543</v>
      </c>
      <c r="V21" s="543">
        <f t="shared" si="12"/>
        <v>219640.03505611184</v>
      </c>
      <c r="W21" s="543">
        <f t="shared" si="13"/>
        <v>218348.73356389755</v>
      </c>
      <c r="X21" s="543">
        <f t="shared" si="14"/>
        <v>217065.02385495431</v>
      </c>
      <c r="Y21" s="543">
        <f t="shared" si="15"/>
        <v>215788.8612958843</v>
      </c>
      <c r="Z21" s="543">
        <f t="shared" si="16"/>
        <v>214520.20151569709</v>
      </c>
      <c r="AA21" s="543">
        <f t="shared" si="17"/>
        <v>213259.00040426693</v>
      </c>
      <c r="AB21" s="543">
        <f t="shared" si="18"/>
        <v>212005.21411079905</v>
      </c>
    </row>
    <row r="22" spans="2:28" hidden="1">
      <c r="B22" s="539" t="s">
        <v>771</v>
      </c>
      <c r="C22" s="539" t="s">
        <v>41</v>
      </c>
      <c r="D22" s="539" t="s">
        <v>26</v>
      </c>
      <c r="E22" s="540" t="s">
        <v>808</v>
      </c>
      <c r="F22" s="541">
        <v>15584</v>
      </c>
      <c r="G22" s="541">
        <v>15551</v>
      </c>
      <c r="H22" s="541">
        <v>15431</v>
      </c>
      <c r="I22" s="541">
        <v>15324</v>
      </c>
      <c r="J22" s="541">
        <v>15229</v>
      </c>
      <c r="K22" s="541">
        <v>15132</v>
      </c>
      <c r="L22" s="541">
        <v>15073</v>
      </c>
      <c r="M22" s="542">
        <v>14953</v>
      </c>
      <c r="N22" s="542">
        <v>14836</v>
      </c>
      <c r="O22" s="541">
        <v>14509</v>
      </c>
      <c r="P22" s="543">
        <v>14321</v>
      </c>
      <c r="Q22" s="25"/>
      <c r="R22" s="543">
        <f>Tabuľka15[[#This Row],[2022]]+P22*Q157</f>
        <v>14200.674530838782</v>
      </c>
      <c r="S22" s="543">
        <f t="shared" si="0"/>
        <v>14081.360039858479</v>
      </c>
      <c r="T22" s="543">
        <f t="shared" si="10"/>
        <v>13963.048032790257</v>
      </c>
      <c r="U22" s="543">
        <f t="shared" si="11"/>
        <v>13845.730086734387</v>
      </c>
      <c r="V22" s="543">
        <f t="shared" si="12"/>
        <v>13729.397849560593</v>
      </c>
      <c r="W22" s="543">
        <f t="shared" si="13"/>
        <v>13614.043039313447</v>
      </c>
      <c r="X22" s="543">
        <f t="shared" si="14"/>
        <v>13499.657443622755</v>
      </c>
      <c r="Y22" s="543">
        <f t="shared" si="15"/>
        <v>13386.232919118906</v>
      </c>
      <c r="Z22" s="543">
        <f t="shared" si="16"/>
        <v>13273.76139085312</v>
      </c>
      <c r="AA22" s="543">
        <f t="shared" si="17"/>
        <v>13162.23485172258</v>
      </c>
      <c r="AB22" s="543">
        <f t="shared" si="18"/>
        <v>13051.645361900386</v>
      </c>
    </row>
    <row r="23" spans="2:28">
      <c r="B23" s="539" t="s">
        <v>772</v>
      </c>
      <c r="C23" s="539" t="s">
        <v>41</v>
      </c>
      <c r="D23" s="539" t="s">
        <v>28</v>
      </c>
      <c r="E23" s="540" t="s">
        <v>814</v>
      </c>
      <c r="F23" s="541">
        <v>34500</v>
      </c>
      <c r="G23" s="541">
        <v>34226</v>
      </c>
      <c r="H23" s="541">
        <v>33977</v>
      </c>
      <c r="I23" s="541">
        <v>33773</v>
      </c>
      <c r="J23" s="541">
        <v>33548</v>
      </c>
      <c r="K23" s="541">
        <v>33332</v>
      </c>
      <c r="L23" s="541">
        <v>33082</v>
      </c>
      <c r="M23" s="542">
        <v>32735</v>
      </c>
      <c r="N23" s="542">
        <v>32470</v>
      </c>
      <c r="O23" s="541">
        <v>31440</v>
      </c>
      <c r="P23" s="543">
        <v>31081</v>
      </c>
      <c r="Q23" s="25"/>
      <c r="R23" s="543">
        <f>Tabuľka15[[#This Row],[2022]]+P23*Q158</f>
        <v>30759.166232428801</v>
      </c>
      <c r="S23" s="543">
        <f t="shared" si="0"/>
        <v>30440.664950104187</v>
      </c>
      <c r="T23" s="543">
        <f t="shared" si="10"/>
        <v>30125.461646212272</v>
      </c>
      <c r="U23" s="543">
        <f t="shared" si="11"/>
        <v>29813.522171246146</v>
      </c>
      <c r="V23" s="543">
        <f t="shared" si="12"/>
        <v>29504.812729306068</v>
      </c>
      <c r="W23" s="543">
        <f t="shared" si="13"/>
        <v>29199.299874437973</v>
      </c>
      <c r="X23" s="543">
        <f t="shared" si="14"/>
        <v>28896.950507009911</v>
      </c>
      <c r="Y23" s="543">
        <f t="shared" si="15"/>
        <v>28597.731870125979</v>
      </c>
      <c r="Z23" s="543">
        <f t="shared" si="16"/>
        <v>28301.611546077409</v>
      </c>
      <c r="AA23" s="543">
        <f t="shared" si="17"/>
        <v>28008.557452830388</v>
      </c>
      <c r="AB23" s="543">
        <f t="shared" si="18"/>
        <v>27718.537840550256</v>
      </c>
    </row>
    <row r="24" spans="2:28">
      <c r="B24" s="539" t="s">
        <v>773</v>
      </c>
      <c r="C24" s="539" t="s">
        <v>41</v>
      </c>
      <c r="D24" s="539" t="s">
        <v>34</v>
      </c>
      <c r="E24" s="540" t="s">
        <v>35</v>
      </c>
      <c r="F24" s="541">
        <v>14799</v>
      </c>
      <c r="G24" s="541">
        <v>14827</v>
      </c>
      <c r="H24" s="541">
        <v>14783</v>
      </c>
      <c r="I24" s="541">
        <v>14811</v>
      </c>
      <c r="J24" s="541">
        <v>14800</v>
      </c>
      <c r="K24" s="541">
        <v>14803</v>
      </c>
      <c r="L24" s="541">
        <v>14757</v>
      </c>
      <c r="M24" s="542">
        <v>14722</v>
      </c>
      <c r="N24" s="542">
        <v>14626</v>
      </c>
      <c r="O24" s="541">
        <v>14151</v>
      </c>
      <c r="P24" s="543">
        <v>14015</v>
      </c>
      <c r="Q24" s="25"/>
      <c r="R24" s="543">
        <f>Tabuľka15[[#This Row],[2022]]+P24*Q159</f>
        <v>13939.587264323034</v>
      </c>
      <c r="S24" s="543">
        <f t="shared" si="0"/>
        <v>13864.580313926288</v>
      </c>
      <c r="T24" s="543">
        <f t="shared" si="10"/>
        <v>13789.976965336478</v>
      </c>
      <c r="U24" s="543">
        <f t="shared" si="11"/>
        <v>13715.775046829282</v>
      </c>
      <c r="V24" s="543">
        <f t="shared" si="12"/>
        <v>13641.972398366115</v>
      </c>
      <c r="W24" s="543">
        <f t="shared" si="13"/>
        <v>13568.566871531262</v>
      </c>
      <c r="X24" s="543">
        <f t="shared" si="14"/>
        <v>13495.556329469326</v>
      </c>
      <c r="Y24" s="543">
        <f t="shared" si="15"/>
        <v>13422.938646823026</v>
      </c>
      <c r="Z24" s="543">
        <f t="shared" si="16"/>
        <v>13350.711709671332</v>
      </c>
      <c r="AA24" s="543">
        <f t="shared" si="17"/>
        <v>13278.873415467919</v>
      </c>
      <c r="AB24" s="543">
        <f t="shared" si="18"/>
        <v>13207.421672979972</v>
      </c>
    </row>
    <row r="25" spans="2:28" hidden="1">
      <c r="B25" s="539" t="s">
        <v>774</v>
      </c>
      <c r="C25" s="539" t="s">
        <v>41</v>
      </c>
      <c r="D25" s="539" t="s">
        <v>26</v>
      </c>
      <c r="E25" s="540" t="s">
        <v>809</v>
      </c>
      <c r="F25" s="541">
        <v>31873</v>
      </c>
      <c r="G25" s="541">
        <v>31772</v>
      </c>
      <c r="H25" s="541">
        <v>31593</v>
      </c>
      <c r="I25" s="541">
        <v>31534</v>
      </c>
      <c r="J25" s="541">
        <v>31461</v>
      </c>
      <c r="K25" s="541">
        <v>31345</v>
      </c>
      <c r="L25" s="541">
        <v>31194</v>
      </c>
      <c r="M25" s="542">
        <v>31000</v>
      </c>
      <c r="N25" s="542">
        <v>30808</v>
      </c>
      <c r="O25" s="541">
        <v>30355</v>
      </c>
      <c r="P25" s="543">
        <v>30162</v>
      </c>
      <c r="Q25" s="25"/>
      <c r="R25" s="543">
        <f>Tabuľka15[[#This Row],[2022]]+P25*Q160</f>
        <v>29996.216366033688</v>
      </c>
      <c r="S25" s="543">
        <f t="shared" si="0"/>
        <v>29831.343951923191</v>
      </c>
      <c r="T25" s="543">
        <f t="shared" si="10"/>
        <v>29667.377749202922</v>
      </c>
      <c r="U25" s="543">
        <f t="shared" si="11"/>
        <v>29504.312776936025</v>
      </c>
      <c r="V25" s="543">
        <f t="shared" si="12"/>
        <v>29342.144081563067</v>
      </c>
      <c r="W25" s="543">
        <f t="shared" si="13"/>
        <v>29180.866736751563</v>
      </c>
      <c r="X25" s="543">
        <f t="shared" si="14"/>
        <v>29020.475843246313</v>
      </c>
      <c r="Y25" s="543">
        <f t="shared" si="15"/>
        <v>28860.966528720586</v>
      </c>
      <c r="Z25" s="543">
        <f t="shared" si="16"/>
        <v>28702.333947628107</v>
      </c>
      <c r="AA25" s="543">
        <f t="shared" si="17"/>
        <v>28544.573281055851</v>
      </c>
      <c r="AB25" s="543">
        <f t="shared" si="18"/>
        <v>28387.679736577662</v>
      </c>
    </row>
    <row r="26" spans="2:28" hidden="1">
      <c r="B26" s="539" t="s">
        <v>57</v>
      </c>
      <c r="C26" s="539" t="s">
        <v>41</v>
      </c>
      <c r="D26" s="539" t="s">
        <v>30</v>
      </c>
      <c r="E26" s="540" t="s">
        <v>31</v>
      </c>
      <c r="F26" s="541">
        <v>28413</v>
      </c>
      <c r="G26" s="541">
        <v>28335</v>
      </c>
      <c r="H26" s="541">
        <v>28204</v>
      </c>
      <c r="I26" s="541">
        <v>28099</v>
      </c>
      <c r="J26" s="541">
        <v>28120</v>
      </c>
      <c r="K26" s="541">
        <v>27991</v>
      </c>
      <c r="L26" s="541">
        <v>27805</v>
      </c>
      <c r="M26" s="542">
        <v>27739</v>
      </c>
      <c r="N26" s="542">
        <v>27535</v>
      </c>
      <c r="O26" s="541">
        <v>25614</v>
      </c>
      <c r="P26" s="543">
        <v>25364</v>
      </c>
      <c r="Q26" s="25"/>
      <c r="R26" s="543">
        <f>Tabuľka15[[#This Row],[2022]]+P26*Q161</f>
        <v>25082.88963654283</v>
      </c>
      <c r="S26" s="543">
        <f t="shared" si="0"/>
        <v>24804.894832005506</v>
      </c>
      <c r="T26" s="543">
        <f t="shared" si="10"/>
        <v>24529.981056507084</v>
      </c>
      <c r="U26" s="543">
        <f t="shared" si="11"/>
        <v>24258.114162862854</v>
      </c>
      <c r="V26" s="543">
        <f t="shared" si="12"/>
        <v>23989.260382342909</v>
      </c>
      <c r="W26" s="543">
        <f t="shared" si="13"/>
        <v>23723.386320477701</v>
      </c>
      <c r="X26" s="543">
        <f t="shared" si="14"/>
        <v>23460.45895291011</v>
      </c>
      <c r="Y26" s="543">
        <f t="shared" si="15"/>
        <v>23200.445621293464</v>
      </c>
      <c r="Z26" s="543">
        <f t="shared" si="16"/>
        <v>22943.314029235029</v>
      </c>
      <c r="AA26" s="543">
        <f t="shared" si="17"/>
        <v>22689.032238284461</v>
      </c>
      <c r="AB26" s="543">
        <f t="shared" si="18"/>
        <v>22437.568663966704</v>
      </c>
    </row>
    <row r="27" spans="2:28" hidden="1">
      <c r="B27" s="539" t="s">
        <v>775</v>
      </c>
      <c r="C27" s="539" t="s">
        <v>41</v>
      </c>
      <c r="D27" s="539" t="s">
        <v>18</v>
      </c>
      <c r="E27" s="540" t="s">
        <v>816</v>
      </c>
      <c r="F27" s="541">
        <v>17061</v>
      </c>
      <c r="G27" s="541">
        <v>17087</v>
      </c>
      <c r="H27" s="541">
        <v>17135</v>
      </c>
      <c r="I27" s="541">
        <v>17253</v>
      </c>
      <c r="J27" s="541">
        <v>17357</v>
      </c>
      <c r="K27" s="541">
        <v>17430</v>
      </c>
      <c r="L27" s="541">
        <v>17438</v>
      </c>
      <c r="M27" s="542">
        <v>17467</v>
      </c>
      <c r="N27" s="542">
        <v>17376</v>
      </c>
      <c r="O27" s="541">
        <v>18917</v>
      </c>
      <c r="P27" s="543">
        <v>18805</v>
      </c>
      <c r="Q27" s="25"/>
      <c r="R27" s="543">
        <f>Tabuľka15[[#This Row],[2022]]+P27*Q162</f>
        <v>18995.175813936879</v>
      </c>
      <c r="S27" s="543">
        <f t="shared" si="0"/>
        <v>19187.274884465438</v>
      </c>
      <c r="T27" s="543">
        <f t="shared" si="10"/>
        <v>19381.316661566412</v>
      </c>
      <c r="U27" s="543">
        <f t="shared" si="11"/>
        <v>19577.320791919072</v>
      </c>
      <c r="V27" s="543">
        <f t="shared" si="12"/>
        <v>19775.30712089044</v>
      </c>
      <c r="W27" s="543">
        <f t="shared" si="13"/>
        <v>19975.295694544631</v>
      </c>
      <c r="X27" s="543">
        <f t="shared" si="14"/>
        <v>20177.306761672517</v>
      </c>
      <c r="Y27" s="543">
        <f t="shared" si="15"/>
        <v>20381.360775841895</v>
      </c>
      <c r="Z27" s="543">
        <f t="shared" si="16"/>
        <v>20587.478397468425</v>
      </c>
      <c r="AA27" s="543">
        <f t="shared" si="17"/>
        <v>20795.680495907483</v>
      </c>
      <c r="AB27" s="543">
        <f t="shared" si="18"/>
        <v>21005.988151567173</v>
      </c>
    </row>
    <row r="28" spans="2:28">
      <c r="B28" s="539" t="s">
        <v>776</v>
      </c>
      <c r="C28" s="539" t="s">
        <v>41</v>
      </c>
      <c r="D28" s="539" t="s">
        <v>34</v>
      </c>
      <c r="E28" s="549" t="s">
        <v>817</v>
      </c>
      <c r="F28" s="541">
        <v>1533</v>
      </c>
      <c r="G28" s="541">
        <v>1563</v>
      </c>
      <c r="H28" s="550">
        <v>1593</v>
      </c>
      <c r="I28" s="550">
        <v>1629</v>
      </c>
      <c r="J28" s="550">
        <v>1656</v>
      </c>
      <c r="K28" s="550">
        <v>1683</v>
      </c>
      <c r="L28" s="550">
        <v>1725</v>
      </c>
      <c r="M28" s="551">
        <v>1754</v>
      </c>
      <c r="N28" s="551">
        <v>1764</v>
      </c>
      <c r="O28" s="550">
        <v>1817</v>
      </c>
      <c r="P28" s="552">
        <v>1855</v>
      </c>
      <c r="Q28" s="25"/>
      <c r="R28" s="543">
        <f>Tabuľka15[[#This Row],[2022]]+P28*Q163</f>
        <v>1890.7399814508717</v>
      </c>
      <c r="S28" s="543">
        <f t="shared" si="0"/>
        <v>1927.1685592759259</v>
      </c>
      <c r="T28" s="543">
        <f t="shared" si="10"/>
        <v>1964.2990005488232</v>
      </c>
      <c r="U28" s="543">
        <f t="shared" si="11"/>
        <v>2002.1448279577614</v>
      </c>
      <c r="V28" s="543">
        <f t="shared" si="12"/>
        <v>2040.7198247303593</v>
      </c>
      <c r="W28" s="543">
        <f t="shared" si="13"/>
        <v>2080.038039653426</v>
      </c>
      <c r="X28" s="543">
        <f t="shared" si="14"/>
        <v>2120.1137921894478</v>
      </c>
      <c r="Y28" s="543">
        <f t="shared" si="15"/>
        <v>2160.9616776916514</v>
      </c>
      <c r="Z28" s="543">
        <f t="shared" si="16"/>
        <v>2202.5965727195457</v>
      </c>
      <c r="AA28" s="543">
        <f t="shared" si="17"/>
        <v>2245.033640456877</v>
      </c>
      <c r="AB28" s="543">
        <f t="shared" si="18"/>
        <v>2288.2883362339721</v>
      </c>
    </row>
    <row r="29" spans="2:28" hidden="1">
      <c r="B29" s="539" t="s">
        <v>55</v>
      </c>
      <c r="C29" s="539" t="s">
        <v>41</v>
      </c>
      <c r="D29" s="539" t="s">
        <v>26</v>
      </c>
      <c r="E29" s="549" t="s">
        <v>56</v>
      </c>
      <c r="F29" s="541">
        <v>57023</v>
      </c>
      <c r="G29" s="541">
        <v>56526</v>
      </c>
      <c r="H29" s="550">
        <v>56053</v>
      </c>
      <c r="I29" s="550">
        <v>55687</v>
      </c>
      <c r="J29" s="550">
        <v>55332</v>
      </c>
      <c r="K29" s="550">
        <v>54978</v>
      </c>
      <c r="L29" s="550">
        <v>54618</v>
      </c>
      <c r="M29" s="551">
        <v>54168</v>
      </c>
      <c r="N29" s="551">
        <v>53763</v>
      </c>
      <c r="O29" s="550">
        <v>51769</v>
      </c>
      <c r="P29" s="552">
        <v>51139</v>
      </c>
      <c r="Q29" s="25"/>
      <c r="R29" s="543">
        <f>Tabuľka15[[#This Row],[2022]]+P29*Q164</f>
        <v>50587.170239459192</v>
      </c>
      <c r="S29" s="543">
        <f t="shared" si="0"/>
        <v>50041.29515313216</v>
      </c>
      <c r="T29" s="543">
        <f t="shared" si="10"/>
        <v>49501.310485432266</v>
      </c>
      <c r="U29" s="543">
        <f t="shared" si="11"/>
        <v>48967.152674140838</v>
      </c>
      <c r="V29" s="543">
        <f t="shared" si="12"/>
        <v>48438.758842925199</v>
      </c>
      <c r="W29" s="543">
        <f t="shared" si="13"/>
        <v>47916.066793937433</v>
      </c>
      <c r="X29" s="543">
        <f t="shared" si="14"/>
        <v>47399.015000492982</v>
      </c>
      <c r="Y29" s="543">
        <f t="shared" si="15"/>
        <v>46887.542599828281</v>
      </c>
      <c r="Z29" s="543">
        <f t="shared" si="16"/>
        <v>46381.589385936531</v>
      </c>
      <c r="AA29" s="543">
        <f t="shared" si="17"/>
        <v>45881.095802480784</v>
      </c>
      <c r="AB29" s="543">
        <f t="shared" si="18"/>
        <v>45386.002935783486</v>
      </c>
    </row>
    <row r="30" spans="2:28">
      <c r="B30" s="539" t="s">
        <v>777</v>
      </c>
      <c r="C30" s="539" t="s">
        <v>41</v>
      </c>
      <c r="D30" s="539" t="s">
        <v>38</v>
      </c>
      <c r="E30" s="540" t="s">
        <v>813</v>
      </c>
      <c r="F30" s="541">
        <v>39833</v>
      </c>
      <c r="G30" s="541">
        <v>39719</v>
      </c>
      <c r="H30" s="541">
        <v>39510</v>
      </c>
      <c r="I30" s="541">
        <v>39455</v>
      </c>
      <c r="J30" s="541">
        <v>39351</v>
      </c>
      <c r="K30" s="541">
        <v>39151</v>
      </c>
      <c r="L30" s="541">
        <v>39050</v>
      </c>
      <c r="M30" s="542">
        <v>38776</v>
      </c>
      <c r="N30" s="542">
        <v>38447</v>
      </c>
      <c r="O30" s="541">
        <v>36253</v>
      </c>
      <c r="P30" s="543">
        <v>35874</v>
      </c>
      <c r="Q30" s="25"/>
      <c r="R30" s="543">
        <f>Tabuľka15[[#This Row],[2022]]+P30*Q165</f>
        <v>35505.088816267453</v>
      </c>
      <c r="S30" s="543">
        <f t="shared" si="0"/>
        <v>35139.971339996657</v>
      </c>
      <c r="T30" s="543">
        <f t="shared" si="10"/>
        <v>34778.608558501255</v>
      </c>
      <c r="U30" s="543">
        <f t="shared" si="11"/>
        <v>34420.961860282834</v>
      </c>
      <c r="V30" s="543">
        <f t="shared" si="12"/>
        <v>34066.993030905294</v>
      </c>
      <c r="W30" s="543">
        <f t="shared" si="13"/>
        <v>33716.664248911657</v>
      </c>
      <c r="X30" s="543">
        <f t="shared" si="14"/>
        <v>33369.93808178285</v>
      </c>
      <c r="Y30" s="543">
        <f t="shared" si="15"/>
        <v>33026.77748193805</v>
      </c>
      <c r="Z30" s="543">
        <f t="shared" si="16"/>
        <v>32687.145782776173</v>
      </c>
      <c r="AA30" s="543">
        <f t="shared" si="17"/>
        <v>32351.006694758045</v>
      </c>
      <c r="AB30" s="543">
        <f t="shared" si="18"/>
        <v>32018.32430152889</v>
      </c>
    </row>
    <row r="31" spans="2:28">
      <c r="B31" s="539" t="s">
        <v>45</v>
      </c>
      <c r="C31" s="539" t="s">
        <v>41</v>
      </c>
      <c r="D31" s="539" t="s">
        <v>28</v>
      </c>
      <c r="E31" s="540" t="s">
        <v>46</v>
      </c>
      <c r="F31" s="541">
        <v>78607</v>
      </c>
      <c r="G31" s="541">
        <v>78351</v>
      </c>
      <c r="H31" s="541">
        <v>78033</v>
      </c>
      <c r="I31" s="541">
        <v>77670</v>
      </c>
      <c r="J31" s="541">
        <v>77374</v>
      </c>
      <c r="K31" s="541">
        <v>77048</v>
      </c>
      <c r="L31" s="541">
        <v>76655</v>
      </c>
      <c r="M31" s="541">
        <v>76533</v>
      </c>
      <c r="N31" s="541">
        <v>76028</v>
      </c>
      <c r="O31" s="541">
        <v>77610</v>
      </c>
      <c r="P31" s="543">
        <v>76951</v>
      </c>
      <c r="Q31" s="25"/>
      <c r="R31" s="543">
        <f>Tabuľka15[[#This Row],[2022]]+P31*Q166</f>
        <v>76789.669799093332</v>
      </c>
      <c r="S31" s="543">
        <f t="shared" si="0"/>
        <v>76628.677832046189</v>
      </c>
      <c r="T31" s="543">
        <f t="shared" si="10"/>
        <v>76468.023389740614</v>
      </c>
      <c r="U31" s="543">
        <f t="shared" si="11"/>
        <v>76307.705764545317</v>
      </c>
      <c r="V31" s="543">
        <f t="shared" si="12"/>
        <v>76147.724250312604</v>
      </c>
      <c r="W31" s="543">
        <f t="shared" si="13"/>
        <v>75988.078142375234</v>
      </c>
      <c r="X31" s="543">
        <f t="shared" si="14"/>
        <v>75828.766737543308</v>
      </c>
      <c r="Y31" s="543">
        <f t="shared" si="15"/>
        <v>75669.78933410121</v>
      </c>
      <c r="Z31" s="543">
        <f t="shared" si="16"/>
        <v>75511.145231804476</v>
      </c>
      <c r="AA31" s="543">
        <f t="shared" si="17"/>
        <v>75352.83373187673</v>
      </c>
      <c r="AB31" s="543">
        <f t="shared" si="18"/>
        <v>75194.854137006609</v>
      </c>
    </row>
    <row r="32" spans="2:28">
      <c r="B32" s="539" t="s">
        <v>778</v>
      </c>
      <c r="C32" s="539" t="s">
        <v>41</v>
      </c>
      <c r="D32" s="539" t="s">
        <v>23</v>
      </c>
      <c r="E32" s="540" t="s">
        <v>818</v>
      </c>
      <c r="F32" s="541">
        <v>20250</v>
      </c>
      <c r="G32" s="541">
        <v>20208</v>
      </c>
      <c r="H32" s="541">
        <v>20119</v>
      </c>
      <c r="I32" s="541">
        <v>20084</v>
      </c>
      <c r="J32" s="541">
        <v>20099</v>
      </c>
      <c r="K32" s="541">
        <v>20066</v>
      </c>
      <c r="L32" s="541">
        <v>20037</v>
      </c>
      <c r="M32" s="541">
        <v>20071</v>
      </c>
      <c r="N32" s="541">
        <v>20077</v>
      </c>
      <c r="O32" s="541">
        <v>19489</v>
      </c>
      <c r="P32" s="543">
        <v>19355</v>
      </c>
      <c r="Q32" s="25"/>
      <c r="R32" s="543">
        <f>Tabuľka15[[#This Row],[2022]]+P32*Q167</f>
        <v>19268.434224806722</v>
      </c>
      <c r="S32" s="543">
        <f t="shared" si="0"/>
        <v>19182.255617447845</v>
      </c>
      <c r="T32" s="543">
        <f t="shared" si="10"/>
        <v>19096.462446304475</v>
      </c>
      <c r="U32" s="543">
        <f t="shared" si="11"/>
        <v>19011.052987502426</v>
      </c>
      <c r="V32" s="543">
        <f t="shared" si="12"/>
        <v>18926.025524877594</v>
      </c>
      <c r="W32" s="543">
        <f t="shared" si="13"/>
        <v>18841.378349941468</v>
      </c>
      <c r="X32" s="543">
        <f t="shared" si="14"/>
        <v>18757.10976184679</v>
      </c>
      <c r="Y32" s="543">
        <f t="shared" si="15"/>
        <v>18673.218067353395</v>
      </c>
      <c r="Z32" s="543">
        <f t="shared" si="16"/>
        <v>18589.701580794183</v>
      </c>
      <c r="AA32" s="543">
        <f t="shared" si="17"/>
        <v>18506.558624041245</v>
      </c>
      <c r="AB32" s="543">
        <f t="shared" si="18"/>
        <v>18423.787526472144</v>
      </c>
    </row>
    <row r="33" spans="2:28">
      <c r="B33" s="539" t="s">
        <v>779</v>
      </c>
      <c r="C33" s="539" t="s">
        <v>41</v>
      </c>
      <c r="D33" s="539" t="s">
        <v>28</v>
      </c>
      <c r="E33" s="540" t="s">
        <v>814</v>
      </c>
      <c r="F33" s="541">
        <v>39373</v>
      </c>
      <c r="G33" s="541">
        <v>39219</v>
      </c>
      <c r="H33" s="541">
        <v>38941</v>
      </c>
      <c r="I33" s="541">
        <v>38721</v>
      </c>
      <c r="J33" s="541">
        <v>38486</v>
      </c>
      <c r="K33" s="541">
        <v>38172</v>
      </c>
      <c r="L33" s="541">
        <v>37899</v>
      </c>
      <c r="M33" s="541">
        <v>37512</v>
      </c>
      <c r="N33" s="541">
        <v>37193</v>
      </c>
      <c r="O33" s="541">
        <v>37270</v>
      </c>
      <c r="P33" s="543">
        <v>36781</v>
      </c>
      <c r="Q33" s="25"/>
      <c r="R33" s="543">
        <f>Tabuľka15[[#This Row],[2022]]+P33*Q168</f>
        <v>36531.645129622768</v>
      </c>
      <c r="S33" s="543">
        <f t="shared" si="0"/>
        <v>36283.980747578666</v>
      </c>
      <c r="T33" s="543">
        <f t="shared" si="10"/>
        <v>36037.995393290243</v>
      </c>
      <c r="U33" s="543">
        <f t="shared" si="11"/>
        <v>35793.677683876442</v>
      </c>
      <c r="V33" s="543">
        <f t="shared" si="12"/>
        <v>35551.016313625842</v>
      </c>
      <c r="W33" s="543">
        <f t="shared" si="13"/>
        <v>35310.000053473508</v>
      </c>
      <c r="X33" s="543">
        <f t="shared" si="14"/>
        <v>35070.617750481368</v>
      </c>
      <c r="Y33" s="543">
        <f t="shared" si="15"/>
        <v>34832.858327322108</v>
      </c>
      <c r="Z33" s="543">
        <f t="shared" si="16"/>
        <v>34596.710781766582</v>
      </c>
      <c r="AA33" s="543">
        <f t="shared" si="17"/>
        <v>34362.164186174676</v>
      </c>
      <c r="AB33" s="543">
        <f t="shared" si="18"/>
        <v>34129.207686989641</v>
      </c>
    </row>
    <row r="34" spans="2:28">
      <c r="B34" s="539" t="s">
        <v>780</v>
      </c>
      <c r="C34" s="539" t="s">
        <v>41</v>
      </c>
      <c r="D34" s="539" t="s">
        <v>23</v>
      </c>
      <c r="E34" s="540" t="s">
        <v>24</v>
      </c>
      <c r="F34" s="541">
        <v>23860</v>
      </c>
      <c r="G34" s="541">
        <v>23709</v>
      </c>
      <c r="H34" s="541">
        <v>23436</v>
      </c>
      <c r="I34" s="541">
        <v>23247</v>
      </c>
      <c r="J34" s="541">
        <v>22999</v>
      </c>
      <c r="K34" s="541">
        <v>22653</v>
      </c>
      <c r="L34" s="541">
        <v>22455</v>
      </c>
      <c r="M34" s="541">
        <v>22269</v>
      </c>
      <c r="N34" s="541">
        <v>22058</v>
      </c>
      <c r="O34" s="541">
        <v>21176</v>
      </c>
      <c r="P34" s="543">
        <v>20871</v>
      </c>
      <c r="Q34" s="25"/>
      <c r="R34" s="543">
        <f>Tabuľka15[[#This Row],[2022]]+P34*Q169</f>
        <v>20594.443945876708</v>
      </c>
      <c r="S34" s="543">
        <f t="shared" si="0"/>
        <v>20321.552462261407</v>
      </c>
      <c r="T34" s="543">
        <f t="shared" si="10"/>
        <v>20052.276990907736</v>
      </c>
      <c r="U34" s="543">
        <f t="shared" si="11"/>
        <v>19786.569617001711</v>
      </c>
      <c r="V34" s="543">
        <f t="shared" si="12"/>
        <v>19524.383060635759</v>
      </c>
      <c r="W34" s="543">
        <f t="shared" si="13"/>
        <v>19265.67066839576</v>
      </c>
      <c r="X34" s="543">
        <f t="shared" si="14"/>
        <v>19010.386405059537</v>
      </c>
      <c r="Y34" s="543">
        <f t="shared" si="15"/>
        <v>18758.484845405361</v>
      </c>
      <c r="Z34" s="543">
        <f t="shared" si="16"/>
        <v>18509.921166129003</v>
      </c>
      <c r="AA34" s="543">
        <f t="shared" si="17"/>
        <v>18264.651137867884</v>
      </c>
      <c r="AB34" s="543">
        <f t="shared" si="18"/>
        <v>18022.631117330908</v>
      </c>
    </row>
    <row r="35" spans="2:28" hidden="1">
      <c r="B35" s="539" t="s">
        <v>781</v>
      </c>
      <c r="C35" s="539" t="s">
        <v>41</v>
      </c>
      <c r="D35" s="539" t="s">
        <v>18</v>
      </c>
      <c r="E35" s="540" t="s">
        <v>819</v>
      </c>
      <c r="F35" s="541">
        <v>21508</v>
      </c>
      <c r="G35" s="541">
        <v>21851</v>
      </c>
      <c r="H35" s="541">
        <v>22129</v>
      </c>
      <c r="I35" s="541">
        <v>22467</v>
      </c>
      <c r="J35" s="541">
        <v>22633</v>
      </c>
      <c r="K35" s="541">
        <v>22861</v>
      </c>
      <c r="L35" s="541">
        <v>23002</v>
      </c>
      <c r="M35" s="541">
        <v>23034</v>
      </c>
      <c r="N35" s="541">
        <v>23004</v>
      </c>
      <c r="O35" s="541">
        <v>24838</v>
      </c>
      <c r="P35" s="543">
        <v>24617</v>
      </c>
      <c r="Q35" s="25"/>
      <c r="R35" s="543">
        <f>Tabuľka15[[#This Row],[2022]]+P35*Q170</f>
        <v>24957.922403327706</v>
      </c>
      <c r="S35" s="543">
        <f t="shared" si="0"/>
        <v>25303.566262766664</v>
      </c>
      <c r="T35" s="543">
        <f t="shared" si="10"/>
        <v>25653.996966063743</v>
      </c>
      <c r="U35" s="543">
        <f t="shared" si="11"/>
        <v>26009.28080652489</v>
      </c>
      <c r="V35" s="543">
        <f t="shared" si="12"/>
        <v>26369.484995556275</v>
      </c>
      <c r="W35" s="543">
        <f t="shared" si="13"/>
        <v>26734.677675379116</v>
      </c>
      <c r="X35" s="543">
        <f t="shared" si="14"/>
        <v>27104.927931920603</v>
      </c>
      <c r="Y35" s="543">
        <f t="shared" si="15"/>
        <v>27480.305807883335</v>
      </c>
      <c r="Z35" s="543">
        <f t="shared" si="16"/>
        <v>27860.882315995772</v>
      </c>
      <c r="AA35" s="543">
        <f t="shared" si="17"/>
        <v>28246.729452446176</v>
      </c>
      <c r="AB35" s="543">
        <f t="shared" si="18"/>
        <v>28637.920210502616</v>
      </c>
    </row>
    <row r="36" spans="2:28">
      <c r="B36" s="539" t="s">
        <v>782</v>
      </c>
      <c r="C36" s="539" t="s">
        <v>41</v>
      </c>
      <c r="D36" s="539" t="s">
        <v>20</v>
      </c>
      <c r="E36" s="540" t="s">
        <v>21</v>
      </c>
      <c r="F36" s="541">
        <v>28149</v>
      </c>
      <c r="G36" s="541">
        <v>28047</v>
      </c>
      <c r="H36" s="541">
        <v>27998</v>
      </c>
      <c r="I36" s="541">
        <v>27855</v>
      </c>
      <c r="J36" s="541">
        <v>27777</v>
      </c>
      <c r="K36" s="541">
        <v>27666</v>
      </c>
      <c r="L36" s="541">
        <v>27534</v>
      </c>
      <c r="M36" s="541">
        <v>27336</v>
      </c>
      <c r="N36" s="541">
        <v>27140</v>
      </c>
      <c r="O36" s="541">
        <v>27307</v>
      </c>
      <c r="P36" s="543">
        <v>27057</v>
      </c>
      <c r="Q36" s="25"/>
      <c r="R36" s="543">
        <f>Tabuľka15[[#This Row],[2022]]+P36*Q171</f>
        <v>26950.371880400817</v>
      </c>
      <c r="S36" s="543">
        <f t="shared" si="0"/>
        <v>26844.163968359353</v>
      </c>
      <c r="T36" s="543">
        <f t="shared" si="10"/>
        <v>26738.374607892252</v>
      </c>
      <c r="U36" s="543">
        <f t="shared" si="11"/>
        <v>26633.002149542172</v>
      </c>
      <c r="V36" s="543">
        <f t="shared" si="12"/>
        <v>26528.044950352065</v>
      </c>
      <c r="W36" s="543">
        <f t="shared" si="13"/>
        <v>26423.501373839565</v>
      </c>
      <c r="X36" s="543">
        <f t="shared" si="14"/>
        <v>26319.369789971472</v>
      </c>
      <c r="Y36" s="543">
        <f t="shared" si="15"/>
        <v>26215.648575138333</v>
      </c>
      <c r="Z36" s="543">
        <f t="shared" si="16"/>
        <v>26112.336112129127</v>
      </c>
      <c r="AA36" s="543">
        <f t="shared" si="17"/>
        <v>26009.430790106057</v>
      </c>
      <c r="AB36" s="543">
        <f t="shared" si="18"/>
        <v>25906.931004579423</v>
      </c>
    </row>
    <row r="37" spans="2:28">
      <c r="B37" s="539" t="s">
        <v>48</v>
      </c>
      <c r="C37" s="539" t="s">
        <v>41</v>
      </c>
      <c r="D37" s="539" t="s">
        <v>34</v>
      </c>
      <c r="E37" s="540" t="s">
        <v>35</v>
      </c>
      <c r="F37" s="541">
        <v>52765</v>
      </c>
      <c r="G37" s="541">
        <v>52654</v>
      </c>
      <c r="H37" s="541">
        <v>52316</v>
      </c>
      <c r="I37" s="541">
        <v>52037</v>
      </c>
      <c r="J37" s="541">
        <v>51750</v>
      </c>
      <c r="K37" s="541">
        <v>51486</v>
      </c>
      <c r="L37" s="541">
        <v>51304</v>
      </c>
      <c r="M37" s="541">
        <v>51235</v>
      </c>
      <c r="N37" s="541">
        <v>50998</v>
      </c>
      <c r="O37" s="541">
        <v>49430</v>
      </c>
      <c r="P37" s="543">
        <v>49091</v>
      </c>
      <c r="Q37" s="25"/>
      <c r="R37" s="543">
        <f>Tabuľka15[[#This Row],[2022]]+P37*Q172</f>
        <v>48739.593063497741</v>
      </c>
      <c r="S37" s="543">
        <f t="shared" ref="S37:S68" si="19">R37+R37*Q172</f>
        <v>48390.701594902464</v>
      </c>
      <c r="T37" s="543">
        <f t="shared" si="10"/>
        <v>48044.307587800147</v>
      </c>
      <c r="U37" s="543">
        <f t="shared" si="11"/>
        <v>47700.393164671645</v>
      </c>
      <c r="V37" s="543">
        <f t="shared" si="12"/>
        <v>47358.940575970038</v>
      </c>
      <c r="W37" s="543">
        <f t="shared" si="13"/>
        <v>47019.932199204559</v>
      </c>
      <c r="X37" s="543">
        <f t="shared" si="14"/>
        <v>46683.350538031096</v>
      </c>
      <c r="Y37" s="543">
        <f t="shared" si="15"/>
        <v>46349.178221349204</v>
      </c>
      <c r="Z37" s="543">
        <f t="shared" si="16"/>
        <v>46017.398002405578</v>
      </c>
      <c r="AA37" s="543">
        <f t="shared" si="17"/>
        <v>45687.992757903929</v>
      </c>
      <c r="AB37" s="543">
        <f t="shared" si="18"/>
        <v>45360.945487121251</v>
      </c>
    </row>
    <row r="38" spans="2:28">
      <c r="B38" s="539" t="s">
        <v>50</v>
      </c>
      <c r="C38" s="539" t="s">
        <v>41</v>
      </c>
      <c r="D38" s="539" t="s">
        <v>23</v>
      </c>
      <c r="E38" s="540" t="s">
        <v>51</v>
      </c>
      <c r="F38" s="541">
        <v>40982</v>
      </c>
      <c r="G38" s="541">
        <v>40817</v>
      </c>
      <c r="H38" s="541">
        <v>40569</v>
      </c>
      <c r="I38" s="541">
        <v>40373</v>
      </c>
      <c r="J38" s="541">
        <v>40075</v>
      </c>
      <c r="K38" s="541">
        <v>39837</v>
      </c>
      <c r="L38" s="541">
        <v>39569</v>
      </c>
      <c r="M38" s="542">
        <v>39270</v>
      </c>
      <c r="N38" s="542">
        <v>38937</v>
      </c>
      <c r="O38" s="541">
        <v>38125</v>
      </c>
      <c r="P38" s="543">
        <v>37706</v>
      </c>
      <c r="Q38" s="25"/>
      <c r="R38" s="543">
        <f>Tabuľka15[[#This Row],[2022]]+P38*Q173</f>
        <v>37393.563097801074</v>
      </c>
      <c r="S38" s="543">
        <f t="shared" si="19"/>
        <v>37083.715089090074</v>
      </c>
      <c r="T38" s="543">
        <f t="shared" ref="T38:T69" si="20">S38+S38*R173</f>
        <v>36776.434521953204</v>
      </c>
      <c r="U38" s="543">
        <f t="shared" ref="U38:U69" si="21">T38+T38*S173</f>
        <v>36471.700122230068</v>
      </c>
      <c r="V38" s="543">
        <f t="shared" ref="V38:V69" si="22">U38+U38*T173</f>
        <v>36169.490792040771</v>
      </c>
      <c r="W38" s="543">
        <f t="shared" ref="W38:W69" si="23">V38+V38*U173</f>
        <v>35869.785608325241</v>
      </c>
      <c r="X38" s="543">
        <f t="shared" ref="X38:X69" si="24">W38+W38*V173</f>
        <v>35572.563821394659</v>
      </c>
      <c r="Y38" s="543">
        <f t="shared" ref="Y38:Y69" si="25">X38+X38*W173</f>
        <v>35277.804853494854</v>
      </c>
      <c r="Z38" s="543">
        <f t="shared" ref="Z38:Z69" si="26">Y38+Y38*X173</f>
        <v>34985.488297381664</v>
      </c>
      <c r="AA38" s="543">
        <f t="shared" ref="AA38:AA69" si="27">Z38+Z38*Y173</f>
        <v>34695.593914908037</v>
      </c>
      <c r="AB38" s="543">
        <f t="shared" ref="AB38:AB69" si="28">AA38+AA38*Z173</f>
        <v>34408.101635622894</v>
      </c>
    </row>
    <row r="39" spans="2:28">
      <c r="B39" s="539" t="s">
        <v>47</v>
      </c>
      <c r="C39" s="539" t="s">
        <v>41</v>
      </c>
      <c r="D39" s="539" t="s">
        <v>34</v>
      </c>
      <c r="E39" s="540" t="s">
        <v>817</v>
      </c>
      <c r="F39" s="541">
        <v>91352</v>
      </c>
      <c r="G39" s="541">
        <v>90923</v>
      </c>
      <c r="H39" s="541">
        <v>90187</v>
      </c>
      <c r="I39" s="541">
        <v>89959</v>
      </c>
      <c r="J39" s="541">
        <v>89618</v>
      </c>
      <c r="K39" s="541">
        <v>89138</v>
      </c>
      <c r="L39" s="541">
        <v>88680</v>
      </c>
      <c r="M39" s="541">
        <v>88464</v>
      </c>
      <c r="N39" s="541">
        <v>87886</v>
      </c>
      <c r="O39" s="541">
        <v>83897</v>
      </c>
      <c r="P39" s="543">
        <v>82927</v>
      </c>
      <c r="Q39" s="25"/>
      <c r="R39" s="543">
        <f>Tabuľka15[[#This Row],[2022]]+P39*Q174</f>
        <v>82134.853591784762</v>
      </c>
      <c r="S39" s="543">
        <f t="shared" si="19"/>
        <v>81350.274030700719</v>
      </c>
      <c r="T39" s="543">
        <f t="shared" si="20"/>
        <v>80573.189035696138</v>
      </c>
      <c r="U39" s="543">
        <f t="shared" si="21"/>
        <v>79803.527016172055</v>
      </c>
      <c r="V39" s="543">
        <f t="shared" si="22"/>
        <v>79041.217065386809</v>
      </c>
      <c r="W39" s="543">
        <f t="shared" si="23"/>
        <v>78286.188953923629</v>
      </c>
      <c r="X39" s="543">
        <f t="shared" si="24"/>
        <v>77538.373123220605</v>
      </c>
      <c r="Y39" s="543">
        <f t="shared" si="25"/>
        <v>76797.70067916243</v>
      </c>
      <c r="Z39" s="543">
        <f t="shared" si="26"/>
        <v>76064.103385733426</v>
      </c>
      <c r="AA39" s="543">
        <f t="shared" si="27"/>
        <v>75337.513658731114</v>
      </c>
      <c r="AB39" s="543">
        <f t="shared" si="28"/>
        <v>74617.864559539899</v>
      </c>
    </row>
    <row r="40" spans="2:28">
      <c r="B40" s="539" t="s">
        <v>52</v>
      </c>
      <c r="C40" s="539" t="s">
        <v>41</v>
      </c>
      <c r="D40" s="539" t="s">
        <v>23</v>
      </c>
      <c r="E40" s="540" t="s">
        <v>24</v>
      </c>
      <c r="F40" s="541">
        <v>48519</v>
      </c>
      <c r="G40" s="541">
        <v>48134</v>
      </c>
      <c r="H40" s="541">
        <v>47574</v>
      </c>
      <c r="I40" s="541">
        <v>47143</v>
      </c>
      <c r="J40" s="541">
        <v>46830</v>
      </c>
      <c r="K40" s="541">
        <v>46408</v>
      </c>
      <c r="L40" s="541">
        <v>46059</v>
      </c>
      <c r="M40" s="542">
        <v>45634</v>
      </c>
      <c r="N40" s="542">
        <v>45141</v>
      </c>
      <c r="O40" s="541">
        <v>44355</v>
      </c>
      <c r="P40" s="543">
        <v>43645</v>
      </c>
      <c r="Q40" s="25"/>
      <c r="R40" s="543">
        <f>Tabuľka15[[#This Row],[2022]]+P40*Q175</f>
        <v>43185.637651458623</v>
      </c>
      <c r="S40" s="543">
        <f t="shared" si="19"/>
        <v>42731.110078200953</v>
      </c>
      <c r="T40" s="543">
        <f t="shared" si="20"/>
        <v>42281.366394358527</v>
      </c>
      <c r="U40" s="543">
        <f t="shared" si="21"/>
        <v>41836.356249635166</v>
      </c>
      <c r="V40" s="543">
        <f t="shared" si="22"/>
        <v>41396.029823670076</v>
      </c>
      <c r="W40" s="543">
        <f t="shared" si="23"/>
        <v>40960.337820460314</v>
      </c>
      <c r="X40" s="543">
        <f t="shared" si="24"/>
        <v>40529.231462841919</v>
      </c>
      <c r="Y40" s="543">
        <f t="shared" si="25"/>
        <v>40102.662487029149</v>
      </c>
      <c r="Z40" s="543">
        <f t="shared" si="26"/>
        <v>39680.583137211208</v>
      </c>
      <c r="AA40" s="543">
        <f t="shared" si="27"/>
        <v>39262.946160205807</v>
      </c>
      <c r="AB40" s="543">
        <f t="shared" si="28"/>
        <v>38849.704800169013</v>
      </c>
    </row>
    <row r="41" spans="2:28">
      <c r="B41" s="539" t="s">
        <v>783</v>
      </c>
      <c r="C41" s="539" t="s">
        <v>41</v>
      </c>
      <c r="D41" s="539" t="s">
        <v>23</v>
      </c>
      <c r="E41" s="540" t="s">
        <v>820</v>
      </c>
      <c r="F41" s="541">
        <v>18127</v>
      </c>
      <c r="G41" s="541">
        <v>18121</v>
      </c>
      <c r="H41" s="541">
        <v>18036</v>
      </c>
      <c r="I41" s="541">
        <v>17962</v>
      </c>
      <c r="J41" s="541">
        <v>17923</v>
      </c>
      <c r="K41" s="541">
        <v>17810</v>
      </c>
      <c r="L41" s="541">
        <v>17722</v>
      </c>
      <c r="M41" s="542">
        <v>17561</v>
      </c>
      <c r="N41" s="542">
        <v>17415</v>
      </c>
      <c r="O41" s="541">
        <v>17253</v>
      </c>
      <c r="P41" s="543">
        <v>17068</v>
      </c>
      <c r="Q41" s="25"/>
      <c r="R41" s="543">
        <f>Tabuľka15[[#This Row],[2022]]+P41*Q176</f>
        <v>16965.651113873639</v>
      </c>
      <c r="S41" s="543">
        <f t="shared" si="19"/>
        <v>16863.91596658553</v>
      </c>
      <c r="T41" s="543">
        <f t="shared" si="20"/>
        <v>16762.790877828287</v>
      </c>
      <c r="U41" s="543">
        <f t="shared" si="21"/>
        <v>16662.272189363623</v>
      </c>
      <c r="V41" s="543">
        <f t="shared" si="22"/>
        <v>16562.356264890008</v>
      </c>
      <c r="W41" s="543">
        <f t="shared" si="23"/>
        <v>16463.039489911131</v>
      </c>
      <c r="X41" s="543">
        <f t="shared" si="24"/>
        <v>16364.318271605134</v>
      </c>
      <c r="Y41" s="543">
        <f t="shared" si="25"/>
        <v>16266.189038694654</v>
      </c>
      <c r="Z41" s="543">
        <f t="shared" si="26"/>
        <v>16168.648241317618</v>
      </c>
      <c r="AA41" s="543">
        <f t="shared" si="27"/>
        <v>16071.692350898833</v>
      </c>
      <c r="AB41" s="543">
        <f t="shared" si="28"/>
        <v>15975.317860022335</v>
      </c>
    </row>
    <row r="42" spans="2:28" hidden="1">
      <c r="B42" s="539" t="s">
        <v>784</v>
      </c>
      <c r="C42" s="539" t="s">
        <v>41</v>
      </c>
      <c r="D42" s="539" t="s">
        <v>30</v>
      </c>
      <c r="E42" s="540" t="s">
        <v>31</v>
      </c>
      <c r="F42" s="541">
        <v>24454</v>
      </c>
      <c r="G42" s="541">
        <v>24322</v>
      </c>
      <c r="H42" s="541">
        <v>24268</v>
      </c>
      <c r="I42" s="541">
        <v>24217</v>
      </c>
      <c r="J42" s="541">
        <v>24134</v>
      </c>
      <c r="K42" s="541">
        <v>24010</v>
      </c>
      <c r="L42" s="541">
        <v>23888</v>
      </c>
      <c r="M42" s="542">
        <v>23751</v>
      </c>
      <c r="N42" s="542">
        <v>23562</v>
      </c>
      <c r="O42" s="541">
        <v>21842</v>
      </c>
      <c r="P42" s="543">
        <v>21527</v>
      </c>
      <c r="Q42" s="25"/>
      <c r="R42" s="543">
        <f>Tabuľka15[[#This Row],[2022]]+P42*Q177</f>
        <v>21259.033013215863</v>
      </c>
      <c r="S42" s="543">
        <f t="shared" si="19"/>
        <v>20994.401665675752</v>
      </c>
      <c r="T42" s="543">
        <f t="shared" si="20"/>
        <v>20733.064435514232</v>
      </c>
      <c r="U42" s="543">
        <f t="shared" si="21"/>
        <v>20474.98031772791</v>
      </c>
      <c r="V42" s="543">
        <f t="shared" si="22"/>
        <v>20220.108817741562</v>
      </c>
      <c r="W42" s="543">
        <f t="shared" si="23"/>
        <v>19968.409945054351</v>
      </c>
      <c r="X42" s="543">
        <f t="shared" si="24"/>
        <v>19719.844206965132</v>
      </c>
      <c r="Y42" s="543">
        <f t="shared" si="25"/>
        <v>19474.372602375868</v>
      </c>
      <c r="Z42" s="543">
        <f t="shared" si="26"/>
        <v>19231.956615672181</v>
      </c>
      <c r="AA42" s="543">
        <f t="shared" si="27"/>
        <v>18992.558210680079</v>
      </c>
      <c r="AB42" s="543">
        <f t="shared" si="28"/>
        <v>18756.139824697904</v>
      </c>
    </row>
    <row r="43" spans="2:28">
      <c r="B43" s="539" t="s">
        <v>785</v>
      </c>
      <c r="C43" s="539" t="s">
        <v>41</v>
      </c>
      <c r="D43" s="539" t="s">
        <v>38</v>
      </c>
      <c r="E43" s="540" t="s">
        <v>39</v>
      </c>
      <c r="F43" s="541">
        <v>19662</v>
      </c>
      <c r="G43" s="541">
        <v>19505</v>
      </c>
      <c r="H43" s="541">
        <v>19450</v>
      </c>
      <c r="I43" s="541">
        <v>19397</v>
      </c>
      <c r="J43" s="541">
        <v>19291</v>
      </c>
      <c r="K43" s="541">
        <v>19190</v>
      </c>
      <c r="L43" s="541">
        <v>19182</v>
      </c>
      <c r="M43" s="542">
        <v>19045</v>
      </c>
      <c r="N43" s="542">
        <v>18942</v>
      </c>
      <c r="O43" s="541">
        <v>17347</v>
      </c>
      <c r="P43" s="543">
        <v>17122</v>
      </c>
      <c r="Q43" s="25"/>
      <c r="R43" s="543">
        <f>Tabuľka15[[#This Row],[2022]]+P43*Q178</f>
        <v>16891.927865139005</v>
      </c>
      <c r="S43" s="543">
        <f t="shared" si="19"/>
        <v>16664.9472608959</v>
      </c>
      <c r="T43" s="543">
        <f t="shared" si="20"/>
        <v>16441.016645683882</v>
      </c>
      <c r="U43" s="543">
        <f t="shared" si="21"/>
        <v>16220.095036119717</v>
      </c>
      <c r="V43" s="543">
        <f t="shared" si="22"/>
        <v>16002.141999523043</v>
      </c>
      <c r="W43" s="543">
        <f t="shared" si="23"/>
        <v>15787.117646516441</v>
      </c>
      <c r="X43" s="543">
        <f t="shared" si="24"/>
        <v>15574.982623724962</v>
      </c>
      <c r="Y43" s="543">
        <f t="shared" si="25"/>
        <v>15365.698106573736</v>
      </c>
      <c r="Z43" s="543">
        <f t="shared" si="26"/>
        <v>15159.225792182371</v>
      </c>
      <c r="AA43" s="543">
        <f t="shared" si="27"/>
        <v>14955.527892354825</v>
      </c>
      <c r="AB43" s="543">
        <f t="shared" si="28"/>
        <v>14754.56712666348</v>
      </c>
    </row>
    <row r="44" spans="2:28" hidden="1">
      <c r="B44" s="539" t="s">
        <v>60</v>
      </c>
      <c r="C44" s="539" t="s">
        <v>41</v>
      </c>
      <c r="D44" s="539" t="s">
        <v>26</v>
      </c>
      <c r="E44" s="540" t="s">
        <v>61</v>
      </c>
      <c r="F44" s="541">
        <v>28145</v>
      </c>
      <c r="G44" s="541">
        <v>27884</v>
      </c>
      <c r="H44" s="541">
        <v>27551</v>
      </c>
      <c r="I44" s="541">
        <v>27284</v>
      </c>
      <c r="J44" s="541">
        <v>27077</v>
      </c>
      <c r="K44" s="541">
        <v>26854</v>
      </c>
      <c r="L44" s="541">
        <v>26709</v>
      </c>
      <c r="M44" s="541">
        <v>26558</v>
      </c>
      <c r="N44" s="541">
        <v>26355</v>
      </c>
      <c r="O44" s="541">
        <v>27043</v>
      </c>
      <c r="P44" s="543">
        <v>26794</v>
      </c>
      <c r="Q44" s="25"/>
      <c r="R44" s="543">
        <f>Tabuľka15[[#This Row],[2022]]+P44*Q179</f>
        <v>26663.972232280241</v>
      </c>
      <c r="S44" s="543">
        <f t="shared" si="19"/>
        <v>26534.575472262884</v>
      </c>
      <c r="T44" s="543">
        <f t="shared" si="20"/>
        <v>26405.806657750312</v>
      </c>
      <c r="U44" s="543">
        <f t="shared" si="21"/>
        <v>26277.662741405355</v>
      </c>
      <c r="V44" s="543">
        <f t="shared" si="22"/>
        <v>26150.14069067916</v>
      </c>
      <c r="W44" s="543">
        <f t="shared" si="23"/>
        <v>26023.237487739447</v>
      </c>
      <c r="X44" s="543">
        <f t="shared" si="24"/>
        <v>25896.950129399076</v>
      </c>
      <c r="Y44" s="543">
        <f t="shared" si="25"/>
        <v>25771.275627044979</v>
      </c>
      <c r="Z44" s="543">
        <f t="shared" si="26"/>
        <v>25646.211006567435</v>
      </c>
      <c r="AA44" s="543">
        <f t="shared" si="27"/>
        <v>25521.753308289692</v>
      </c>
      <c r="AB44" s="543">
        <f t="shared" si="28"/>
        <v>25397.899586897915</v>
      </c>
    </row>
    <row r="45" spans="2:28">
      <c r="B45" s="539" t="s">
        <v>786</v>
      </c>
      <c r="C45" s="539" t="s">
        <v>41</v>
      </c>
      <c r="D45" s="539" t="s">
        <v>28</v>
      </c>
      <c r="E45" s="540" t="s">
        <v>814</v>
      </c>
      <c r="F45" s="541">
        <v>7591</v>
      </c>
      <c r="G45" s="541">
        <v>7544</v>
      </c>
      <c r="H45" s="541">
        <v>7516</v>
      </c>
      <c r="I45" s="541">
        <v>7463</v>
      </c>
      <c r="J45" s="541">
        <v>7368</v>
      </c>
      <c r="K45" s="541">
        <v>7321</v>
      </c>
      <c r="L45" s="541">
        <v>7238</v>
      </c>
      <c r="M45" s="542">
        <v>7219</v>
      </c>
      <c r="N45" s="542">
        <v>7123</v>
      </c>
      <c r="O45" s="541">
        <v>7160</v>
      </c>
      <c r="P45" s="543">
        <v>7069</v>
      </c>
      <c r="Q45" s="25"/>
      <c r="R45" s="543">
        <f>Tabuľka15[[#This Row],[2022]]+P45*Q180</f>
        <v>7018.9241180629542</v>
      </c>
      <c r="S45" s="543">
        <f t="shared" si="19"/>
        <v>6969.2029671984465</v>
      </c>
      <c r="T45" s="543">
        <f t="shared" si="20"/>
        <v>6919.8340345374281</v>
      </c>
      <c r="U45" s="543">
        <f t="shared" si="21"/>
        <v>6870.8148250116892</v>
      </c>
      <c r="V45" s="543">
        <f t="shared" si="22"/>
        <v>6822.1428612277605</v>
      </c>
      <c r="W45" s="543">
        <f t="shared" si="23"/>
        <v>6773.8156833417079</v>
      </c>
      <c r="X45" s="543">
        <f t="shared" si="24"/>
        <v>6725.8308489348146</v>
      </c>
      <c r="Y45" s="543">
        <f t="shared" si="25"/>
        <v>6678.1859328901401</v>
      </c>
      <c r="Z45" s="543">
        <f t="shared" si="26"/>
        <v>6630.8785272699606</v>
      </c>
      <c r="AA45" s="543">
        <f t="shared" si="27"/>
        <v>6583.9062411940713</v>
      </c>
      <c r="AB45" s="543">
        <f t="shared" si="28"/>
        <v>6537.2667007189521</v>
      </c>
    </row>
    <row r="46" spans="2:28">
      <c r="B46" s="539" t="s">
        <v>787</v>
      </c>
      <c r="C46" s="539" t="s">
        <v>41</v>
      </c>
      <c r="D46" s="539" t="s">
        <v>28</v>
      </c>
      <c r="E46" s="540" t="s">
        <v>814</v>
      </c>
      <c r="F46" s="541">
        <v>23268</v>
      </c>
      <c r="G46" s="541">
        <v>23098</v>
      </c>
      <c r="H46" s="541">
        <v>22938</v>
      </c>
      <c r="I46" s="541">
        <v>22714</v>
      </c>
      <c r="J46" s="541">
        <v>22464</v>
      </c>
      <c r="K46" s="541">
        <v>22219</v>
      </c>
      <c r="L46" s="541">
        <v>21893</v>
      </c>
      <c r="M46" s="541">
        <v>21689</v>
      </c>
      <c r="N46" s="541">
        <v>21477</v>
      </c>
      <c r="O46" s="541">
        <v>20820</v>
      </c>
      <c r="P46" s="543">
        <v>20552</v>
      </c>
      <c r="Q46" s="25"/>
      <c r="R46" s="543">
        <f>Tabuľka15[[#This Row],[2022]]+P46*Q181</f>
        <v>20298.924281194744</v>
      </c>
      <c r="S46" s="543">
        <f t="shared" si="19"/>
        <v>20048.964916975361</v>
      </c>
      <c r="T46" s="543">
        <f t="shared" si="20"/>
        <v>19802.083532795481</v>
      </c>
      <c r="U46" s="543">
        <f t="shared" si="21"/>
        <v>19558.242226649905</v>
      </c>
      <c r="V46" s="543">
        <f t="shared" si="22"/>
        <v>19317.40356325575</v>
      </c>
      <c r="W46" s="543">
        <f t="shared" si="23"/>
        <v>19079.530568305276</v>
      </c>
      <c r="X46" s="543">
        <f t="shared" si="24"/>
        <v>18844.586722789478</v>
      </c>
      <c r="Y46" s="543">
        <f t="shared" si="25"/>
        <v>18612.535957391567</v>
      </c>
      <c r="Z46" s="543">
        <f t="shared" si="26"/>
        <v>18383.342646949492</v>
      </c>
      <c r="AA46" s="543">
        <f t="shared" si="27"/>
        <v>18156.971604986666</v>
      </c>
      <c r="AB46" s="543">
        <f t="shared" si="28"/>
        <v>17933.38807831001</v>
      </c>
    </row>
    <row r="47" spans="2:28" hidden="1">
      <c r="B47" s="539" t="s">
        <v>788</v>
      </c>
      <c r="C47" s="539" t="s">
        <v>41</v>
      </c>
      <c r="D47" s="539" t="s">
        <v>18</v>
      </c>
      <c r="E47" s="540" t="s">
        <v>816</v>
      </c>
      <c r="F47" s="541">
        <v>17566</v>
      </c>
      <c r="G47" s="541">
        <v>17806</v>
      </c>
      <c r="H47" s="541">
        <v>18208</v>
      </c>
      <c r="I47" s="541">
        <v>18658</v>
      </c>
      <c r="J47" s="541">
        <v>19086</v>
      </c>
      <c r="K47" s="541">
        <v>19410</v>
      </c>
      <c r="L47" s="541">
        <v>19711</v>
      </c>
      <c r="M47" s="541">
        <v>19963</v>
      </c>
      <c r="N47" s="541">
        <v>19997</v>
      </c>
      <c r="O47" s="541">
        <v>20131</v>
      </c>
      <c r="P47" s="543">
        <v>20115</v>
      </c>
      <c r="Q47" s="25"/>
      <c r="R47" s="543">
        <f>Tabuľka15[[#This Row],[2022]]+P47*Q182</f>
        <v>20390.113691181694</v>
      </c>
      <c r="S47" s="543">
        <f t="shared" si="19"/>
        <v>20668.990123754174</v>
      </c>
      <c r="T47" s="543">
        <f t="shared" si="20"/>
        <v>20951.680760887855</v>
      </c>
      <c r="U47" s="543">
        <f t="shared" si="21"/>
        <v>21238.237769617081</v>
      </c>
      <c r="V47" s="543">
        <f t="shared" si="22"/>
        <v>21528.714030466886</v>
      </c>
      <c r="W47" s="543">
        <f t="shared" si="23"/>
        <v>21823.16314721145</v>
      </c>
      <c r="X47" s="543">
        <f t="shared" si="24"/>
        <v>22121.639456765995</v>
      </c>
      <c r="Y47" s="543">
        <f t="shared" si="25"/>
        <v>22424.198039213996</v>
      </c>
      <c r="Z47" s="543">
        <f t="shared" si="26"/>
        <v>22730.894727971514</v>
      </c>
      <c r="AA47" s="543">
        <f t="shared" si="27"/>
        <v>23041.786120090568</v>
      </c>
      <c r="AB47" s="543">
        <f t="shared" si="28"/>
        <v>23356.929586703409</v>
      </c>
    </row>
    <row r="48" spans="2:28">
      <c r="B48" s="539" t="s">
        <v>789</v>
      </c>
      <c r="C48" s="539" t="s">
        <v>41</v>
      </c>
      <c r="D48" s="539" t="s">
        <v>20</v>
      </c>
      <c r="E48" s="540" t="s">
        <v>21</v>
      </c>
      <c r="F48" s="541">
        <v>20330</v>
      </c>
      <c r="G48" s="541">
        <v>20318</v>
      </c>
      <c r="H48" s="541">
        <v>20352</v>
      </c>
      <c r="I48" s="541">
        <v>20380</v>
      </c>
      <c r="J48" s="541">
        <v>20402</v>
      </c>
      <c r="K48" s="541">
        <v>20342</v>
      </c>
      <c r="L48" s="541">
        <v>20324</v>
      </c>
      <c r="M48" s="541">
        <v>20289</v>
      </c>
      <c r="N48" s="541">
        <v>20198</v>
      </c>
      <c r="O48" s="541">
        <v>19620</v>
      </c>
      <c r="P48" s="543">
        <v>19430</v>
      </c>
      <c r="Q48" s="25"/>
      <c r="R48" s="543">
        <f>Tabuľka15[[#This Row],[2022]]+P48*Q183</f>
        <v>19342.962673240196</v>
      </c>
      <c r="S48" s="543">
        <f t="shared" si="19"/>
        <v>19256.315233060399</v>
      </c>
      <c r="T48" s="543">
        <f t="shared" si="20"/>
        <v>19170.055932950792</v>
      </c>
      <c r="U48" s="543">
        <f t="shared" si="21"/>
        <v>19084.183034225112</v>
      </c>
      <c r="V48" s="543">
        <f t="shared" si="22"/>
        <v>18998.6948059856</v>
      </c>
      <c r="W48" s="543">
        <f t="shared" si="23"/>
        <v>18913.589525088104</v>
      </c>
      <c r="X48" s="543">
        <f t="shared" si="24"/>
        <v>18828.865476107359</v>
      </c>
      <c r="Y48" s="543">
        <f t="shared" si="25"/>
        <v>18744.520951302402</v>
      </c>
      <c r="Z48" s="543">
        <f t="shared" si="26"/>
        <v>18660.55425058215</v>
      </c>
      <c r="AA48" s="543">
        <f t="shared" si="27"/>
        <v>18576.963681471138</v>
      </c>
      <c r="AB48" s="543">
        <f t="shared" si="28"/>
        <v>18493.7475590754</v>
      </c>
    </row>
    <row r="49" spans="2:28">
      <c r="B49" s="539" t="s">
        <v>790</v>
      </c>
      <c r="C49" s="539" t="s">
        <v>41</v>
      </c>
      <c r="D49" s="539" t="s">
        <v>20</v>
      </c>
      <c r="E49" s="540" t="s">
        <v>810</v>
      </c>
      <c r="F49" s="541">
        <v>16161</v>
      </c>
      <c r="G49" s="541">
        <v>16106</v>
      </c>
      <c r="H49" s="541">
        <v>15993</v>
      </c>
      <c r="I49" s="541">
        <v>15923</v>
      </c>
      <c r="J49" s="541">
        <v>15814</v>
      </c>
      <c r="K49" s="541">
        <v>15726</v>
      </c>
      <c r="L49" s="541">
        <v>15581</v>
      </c>
      <c r="M49" s="542">
        <v>15444</v>
      </c>
      <c r="N49" s="542">
        <v>15326</v>
      </c>
      <c r="O49" s="541">
        <v>15501</v>
      </c>
      <c r="P49" s="543">
        <v>15290</v>
      </c>
      <c r="Q49" s="25"/>
      <c r="R49" s="543">
        <f>Tabuľka15[[#This Row],[2022]]+P49*Q184</f>
        <v>15205.823183731816</v>
      </c>
      <c r="S49" s="543">
        <f t="shared" si="19"/>
        <v>15122.109790380378</v>
      </c>
      <c r="T49" s="543">
        <f t="shared" si="20"/>
        <v>15038.857268639884</v>
      </c>
      <c r="U49" s="543">
        <f t="shared" si="21"/>
        <v>14956.063081250366</v>
      </c>
      <c r="V49" s="543">
        <f t="shared" si="22"/>
        <v>14873.724704920362</v>
      </c>
      <c r="W49" s="543">
        <f t="shared" si="23"/>
        <v>14791.839630250013</v>
      </c>
      <c r="X49" s="543">
        <f t="shared" si="24"/>
        <v>14710.405361654592</v>
      </c>
      <c r="Y49" s="543">
        <f t="shared" si="25"/>
        <v>14629.419417288436</v>
      </c>
      <c r="Z49" s="543">
        <f t="shared" si="26"/>
        <v>14548.87932896932</v>
      </c>
      <c r="AA49" s="543">
        <f t="shared" si="27"/>
        <v>14468.782642103222</v>
      </c>
      <c r="AB49" s="543">
        <f t="shared" si="28"/>
        <v>14389.126915609526</v>
      </c>
    </row>
    <row r="50" spans="2:28">
      <c r="B50" s="539" t="s">
        <v>791</v>
      </c>
      <c r="C50" s="539" t="s">
        <v>41</v>
      </c>
      <c r="D50" s="539" t="s">
        <v>20</v>
      </c>
      <c r="E50" s="540" t="s">
        <v>821</v>
      </c>
      <c r="F50" s="541">
        <v>14609</v>
      </c>
      <c r="G50" s="541">
        <v>14714</v>
      </c>
      <c r="H50" s="541">
        <v>14749</v>
      </c>
      <c r="I50" s="541">
        <v>14806</v>
      </c>
      <c r="J50" s="541">
        <v>14914</v>
      </c>
      <c r="K50" s="541">
        <v>14967</v>
      </c>
      <c r="L50" s="541">
        <v>15016</v>
      </c>
      <c r="M50" s="542">
        <v>15022</v>
      </c>
      <c r="N50" s="542">
        <v>15000</v>
      </c>
      <c r="O50" s="541">
        <v>15501</v>
      </c>
      <c r="P50" s="543">
        <v>15471</v>
      </c>
      <c r="Q50" s="25"/>
      <c r="R50" s="543">
        <f>Tabuľka15[[#This Row],[2022]]+P50*Q185</f>
        <v>15560.658033234018</v>
      </c>
      <c r="S50" s="543">
        <f t="shared" si="19"/>
        <v>15650.835655565277</v>
      </c>
      <c r="T50" s="543">
        <f t="shared" si="20"/>
        <v>15741.535878133103</v>
      </c>
      <c r="U50" s="543">
        <f t="shared" si="21"/>
        <v>15832.761729527076</v>
      </c>
      <c r="V50" s="543">
        <f t="shared" si="22"/>
        <v>15924.516255888155</v>
      </c>
      <c r="W50" s="543">
        <f t="shared" si="23"/>
        <v>16016.80252101039</v>
      </c>
      <c r="X50" s="543">
        <f t="shared" si="24"/>
        <v>16109.623606443231</v>
      </c>
      <c r="Y50" s="543">
        <f t="shared" si="25"/>
        <v>16202.982611594418</v>
      </c>
      <c r="Z50" s="543">
        <f t="shared" si="26"/>
        <v>16296.882653833482</v>
      </c>
      <c r="AA50" s="543">
        <f t="shared" si="27"/>
        <v>16391.326868595832</v>
      </c>
      <c r="AB50" s="543">
        <f t="shared" si="28"/>
        <v>16486.318409487452</v>
      </c>
    </row>
    <row r="51" spans="2:28">
      <c r="B51" s="539" t="s">
        <v>792</v>
      </c>
      <c r="C51" s="539" t="s">
        <v>41</v>
      </c>
      <c r="D51" s="539" t="s">
        <v>34</v>
      </c>
      <c r="E51" s="540" t="s">
        <v>822</v>
      </c>
      <c r="F51" s="541">
        <v>20596</v>
      </c>
      <c r="G51" s="541">
        <v>20496</v>
      </c>
      <c r="H51" s="541">
        <v>20294</v>
      </c>
      <c r="I51" s="541">
        <v>20174</v>
      </c>
      <c r="J51" s="541">
        <v>20031</v>
      </c>
      <c r="K51" s="541">
        <v>19855</v>
      </c>
      <c r="L51" s="541">
        <v>19695</v>
      </c>
      <c r="M51" s="542">
        <v>19520</v>
      </c>
      <c r="N51" s="542">
        <v>19322</v>
      </c>
      <c r="O51" s="541">
        <v>18465</v>
      </c>
      <c r="P51" s="543">
        <v>18208</v>
      </c>
      <c r="Q51" s="25"/>
      <c r="R51" s="543">
        <f>Tabuľka15[[#This Row],[2022]]+P51*Q186</f>
        <v>17986.121201136932</v>
      </c>
      <c r="S51" s="543">
        <f t="shared" si="19"/>
        <v>17766.946169924617</v>
      </c>
      <c r="T51" s="543">
        <f t="shared" si="20"/>
        <v>17550.441958827974</v>
      </c>
      <c r="U51" s="543">
        <f t="shared" si="21"/>
        <v>17336.57602180355</v>
      </c>
      <c r="V51" s="543">
        <f t="shared" si="22"/>
        <v>17125.316209407021</v>
      </c>
      <c r="W51" s="543">
        <f t="shared" si="23"/>
        <v>16916.630763960326</v>
      </c>
      <c r="X51" s="543">
        <f t="shared" si="24"/>
        <v>16710.488314777685</v>
      </c>
      <c r="Y51" s="543">
        <f t="shared" si="25"/>
        <v>16506.857873449797</v>
      </c>
      <c r="Z51" s="543">
        <f t="shared" si="26"/>
        <v>16305.708829185494</v>
      </c>
      <c r="AA51" s="543">
        <f t="shared" si="27"/>
        <v>16107.010944210177</v>
      </c>
      <c r="AB51" s="543">
        <f t="shared" si="28"/>
        <v>15910.734349220302</v>
      </c>
    </row>
    <row r="52" spans="2:28">
      <c r="B52" s="539" t="s">
        <v>58</v>
      </c>
      <c r="C52" s="539" t="s">
        <v>41</v>
      </c>
      <c r="D52" s="539" t="s">
        <v>38</v>
      </c>
      <c r="E52" s="540" t="s">
        <v>39</v>
      </c>
      <c r="F52" s="541">
        <v>37767</v>
      </c>
      <c r="G52" s="541">
        <v>37795</v>
      </c>
      <c r="H52" s="541">
        <v>37707</v>
      </c>
      <c r="I52" s="541">
        <v>37594</v>
      </c>
      <c r="J52" s="541">
        <v>37472</v>
      </c>
      <c r="K52" s="541">
        <v>37326</v>
      </c>
      <c r="L52" s="541">
        <v>37194</v>
      </c>
      <c r="M52" s="542">
        <v>37007</v>
      </c>
      <c r="N52" s="542">
        <v>36729</v>
      </c>
      <c r="O52" s="541">
        <v>35138</v>
      </c>
      <c r="P52" s="543">
        <v>34855</v>
      </c>
      <c r="Q52" s="25"/>
      <c r="R52" s="543">
        <f>Tabuľka15[[#This Row],[2022]]+P52*Q187</f>
        <v>34579.043843810367</v>
      </c>
      <c r="S52" s="543">
        <f t="shared" si="19"/>
        <v>34305.272504724126</v>
      </c>
      <c r="T52" s="543">
        <f t="shared" si="20"/>
        <v>34033.668684972537</v>
      </c>
      <c r="U52" s="543">
        <f t="shared" si="21"/>
        <v>33764.215223737803</v>
      </c>
      <c r="V52" s="543">
        <f t="shared" si="22"/>
        <v>33496.895096068823</v>
      </c>
      <c r="W52" s="543">
        <f t="shared" si="23"/>
        <v>33231.691411805485</v>
      </c>
      <c r="X52" s="543">
        <f t="shared" si="24"/>
        <v>32968.587414511494</v>
      </c>
      <c r="Y52" s="543">
        <f t="shared" si="25"/>
        <v>32707.566480415651</v>
      </c>
      <c r="Z52" s="543">
        <f t="shared" si="26"/>
        <v>32448.612117361499</v>
      </c>
      <c r="AA52" s="543">
        <f t="shared" si="27"/>
        <v>32191.707963765301</v>
      </c>
      <c r="AB52" s="543">
        <f t="shared" si="28"/>
        <v>31936.837787582259</v>
      </c>
    </row>
    <row r="53" spans="2:28">
      <c r="B53" s="539" t="s">
        <v>793</v>
      </c>
      <c r="C53" s="539" t="s">
        <v>41</v>
      </c>
      <c r="D53" s="539" t="s">
        <v>34</v>
      </c>
      <c r="E53" s="540" t="s">
        <v>813</v>
      </c>
      <c r="F53" s="541">
        <v>16351</v>
      </c>
      <c r="G53" s="541">
        <v>16359</v>
      </c>
      <c r="H53" s="541">
        <v>16366</v>
      </c>
      <c r="I53" s="541">
        <v>16347</v>
      </c>
      <c r="J53" s="541">
        <v>16333</v>
      </c>
      <c r="K53" s="541">
        <v>16348</v>
      </c>
      <c r="L53" s="541">
        <v>16330</v>
      </c>
      <c r="M53" s="542">
        <v>16327</v>
      </c>
      <c r="N53" s="542">
        <v>16260</v>
      </c>
      <c r="O53" s="541">
        <v>15832</v>
      </c>
      <c r="P53" s="543">
        <v>15707</v>
      </c>
      <c r="Q53" s="25"/>
      <c r="R53" s="543">
        <f>Tabuľka15[[#This Row],[2022]]+P53*Q188</f>
        <v>15644.505180186956</v>
      </c>
      <c r="S53" s="543">
        <f t="shared" si="19"/>
        <v>15582.259013999905</v>
      </c>
      <c r="T53" s="543">
        <f t="shared" si="20"/>
        <v>15520.260512098834</v>
      </c>
      <c r="U53" s="543">
        <f t="shared" si="21"/>
        <v>15458.508689080109</v>
      </c>
      <c r="V53" s="543">
        <f t="shared" si="22"/>
        <v>15397.002563460803</v>
      </c>
      <c r="W53" s="543">
        <f t="shared" si="23"/>
        <v>15335.741157663104</v>
      </c>
      <c r="X53" s="543">
        <f t="shared" si="24"/>
        <v>15274.723497998773</v>
      </c>
      <c r="Y53" s="543">
        <f t="shared" si="25"/>
        <v>15213.948614653673</v>
      </c>
      <c r="Z53" s="543">
        <f t="shared" si="26"/>
        <v>15153.415541672346</v>
      </c>
      <c r="AA53" s="543">
        <f t="shared" si="27"/>
        <v>15093.123316942672</v>
      </c>
      <c r="AB53" s="543">
        <f t="shared" si="28"/>
        <v>15033.070982180567</v>
      </c>
    </row>
    <row r="54" spans="2:28">
      <c r="B54" s="539" t="s">
        <v>794</v>
      </c>
      <c r="C54" s="539" t="s">
        <v>41</v>
      </c>
      <c r="D54" s="539" t="s">
        <v>28</v>
      </c>
      <c r="E54" s="540" t="s">
        <v>814</v>
      </c>
      <c r="F54" s="541">
        <v>10755</v>
      </c>
      <c r="G54" s="541">
        <v>10666</v>
      </c>
      <c r="H54" s="541">
        <v>10568</v>
      </c>
      <c r="I54" s="541">
        <v>10524</v>
      </c>
      <c r="J54" s="541">
        <v>10465</v>
      </c>
      <c r="K54" s="541">
        <v>10390</v>
      </c>
      <c r="L54" s="541">
        <v>10279</v>
      </c>
      <c r="M54" s="542">
        <v>10186</v>
      </c>
      <c r="N54" s="542">
        <v>10112</v>
      </c>
      <c r="O54" s="541">
        <v>9591</v>
      </c>
      <c r="P54" s="543">
        <v>9440</v>
      </c>
      <c r="Q54" s="25"/>
      <c r="R54" s="543">
        <f>Tabuľka15[[#This Row],[2022]]+P54*Q189</f>
        <v>9318.5426450022587</v>
      </c>
      <c r="S54" s="543">
        <f t="shared" si="19"/>
        <v>9198.647990119247</v>
      </c>
      <c r="T54" s="543">
        <f t="shared" si="20"/>
        <v>9080.2959292680625</v>
      </c>
      <c r="U54" s="543">
        <f t="shared" si="21"/>
        <v>8963.4666150555986</v>
      </c>
      <c r="V54" s="543">
        <f t="shared" si="22"/>
        <v>8848.1404554501732</v>
      </c>
      <c r="W54" s="543">
        <f t="shared" si="23"/>
        <v>8734.298110495989</v>
      </c>
      <c r="X54" s="543">
        <f t="shared" si="24"/>
        <v>8621.9204890698638</v>
      </c>
      <c r="Y54" s="543">
        <f t="shared" si="25"/>
        <v>8510.9887456796878</v>
      </c>
      <c r="Z54" s="543">
        <f t="shared" si="26"/>
        <v>8401.4842773040727</v>
      </c>
      <c r="AA54" s="543">
        <f t="shared" si="27"/>
        <v>8293.3887202726673</v>
      </c>
      <c r="AB54" s="543">
        <f t="shared" si="28"/>
        <v>8186.6839471866051</v>
      </c>
    </row>
    <row r="55" spans="2:28">
      <c r="B55" s="539" t="s">
        <v>795</v>
      </c>
      <c r="C55" s="539" t="s">
        <v>41</v>
      </c>
      <c r="D55" s="539" t="s">
        <v>28</v>
      </c>
      <c r="E55" s="540" t="s">
        <v>814</v>
      </c>
      <c r="F55" s="541">
        <v>10115</v>
      </c>
      <c r="G55" s="541">
        <v>10080</v>
      </c>
      <c r="H55" s="541">
        <v>10055</v>
      </c>
      <c r="I55" s="541">
        <v>9960</v>
      </c>
      <c r="J55" s="541">
        <v>9892</v>
      </c>
      <c r="K55" s="541">
        <v>9878</v>
      </c>
      <c r="L55" s="541">
        <v>9782</v>
      </c>
      <c r="M55" s="542">
        <v>9659</v>
      </c>
      <c r="N55" s="542">
        <v>9581</v>
      </c>
      <c r="O55" s="541">
        <v>9477</v>
      </c>
      <c r="P55" s="543">
        <v>9326</v>
      </c>
      <c r="Q55" s="25"/>
      <c r="R55" s="543">
        <f>Tabuľka15[[#This Row],[2022]]+P55*Q190</f>
        <v>9250.6578779171341</v>
      </c>
      <c r="S55" s="543">
        <f t="shared" si="19"/>
        <v>9175.9244235760598</v>
      </c>
      <c r="T55" s="543">
        <f t="shared" si="20"/>
        <v>9101.7947197218655</v>
      </c>
      <c r="U55" s="543">
        <f t="shared" si="21"/>
        <v>9028.2638888247529</v>
      </c>
      <c r="V55" s="543">
        <f t="shared" si="22"/>
        <v>8955.3270927591111</v>
      </c>
      <c r="W55" s="543">
        <f t="shared" si="23"/>
        <v>8882.9795324851821</v>
      </c>
      <c r="X55" s="543">
        <f t="shared" si="24"/>
        <v>8811.2164477332954</v>
      </c>
      <c r="Y55" s="543">
        <f t="shared" si="25"/>
        <v>8740.0331166906526</v>
      </c>
      <c r="Z55" s="543">
        <f t="shared" si="26"/>
        <v>8669.4248556906532</v>
      </c>
      <c r="AA55" s="543">
        <f t="shared" si="27"/>
        <v>8599.387018904712</v>
      </c>
      <c r="AB55" s="543">
        <f t="shared" si="28"/>
        <v>8529.9149980365873</v>
      </c>
    </row>
    <row r="56" spans="2:28">
      <c r="B56" s="539" t="s">
        <v>796</v>
      </c>
      <c r="C56" s="539" t="s">
        <v>41</v>
      </c>
      <c r="D56" s="539" t="s">
        <v>34</v>
      </c>
      <c r="E56" s="540" t="s">
        <v>823</v>
      </c>
      <c r="F56" s="541">
        <v>7620</v>
      </c>
      <c r="G56" s="541">
        <v>7679</v>
      </c>
      <c r="H56" s="541">
        <v>7739</v>
      </c>
      <c r="I56" s="541">
        <v>7771</v>
      </c>
      <c r="J56" s="541">
        <v>7748</v>
      </c>
      <c r="K56" s="541">
        <v>7770</v>
      </c>
      <c r="L56" s="541">
        <v>7790</v>
      </c>
      <c r="M56" s="542">
        <v>7923</v>
      </c>
      <c r="N56" s="542">
        <v>7931</v>
      </c>
      <c r="O56" s="541">
        <v>7703</v>
      </c>
      <c r="P56" s="543">
        <v>7714</v>
      </c>
      <c r="Q56" s="25"/>
      <c r="R56" s="543">
        <f>Tabuľka15[[#This Row],[2022]]+P56*Q191</f>
        <v>7723.9571362470442</v>
      </c>
      <c r="S56" s="543">
        <f t="shared" si="19"/>
        <v>7733.927125042992</v>
      </c>
      <c r="T56" s="543">
        <f t="shared" si="20"/>
        <v>7743.9099829777551</v>
      </c>
      <c r="U56" s="543">
        <f t="shared" si="21"/>
        <v>7753.9057266626596</v>
      </c>
      <c r="V56" s="543">
        <f t="shared" si="22"/>
        <v>7763.9143727304736</v>
      </c>
      <c r="W56" s="543">
        <f t="shared" si="23"/>
        <v>7773.9359378354329</v>
      </c>
      <c r="X56" s="543">
        <f t="shared" si="24"/>
        <v>7783.970438653273</v>
      </c>
      <c r="Y56" s="543">
        <f t="shared" si="25"/>
        <v>7794.0178918812526</v>
      </c>
      <c r="Z56" s="543">
        <f t="shared" si="26"/>
        <v>7804.0783142381824</v>
      </c>
      <c r="AA56" s="543">
        <f t="shared" si="27"/>
        <v>7814.1517224644558</v>
      </c>
      <c r="AB56" s="543">
        <f t="shared" si="28"/>
        <v>7824.2381333220719</v>
      </c>
    </row>
    <row r="57" spans="2:28">
      <c r="B57" s="539" t="s">
        <v>797</v>
      </c>
      <c r="C57" s="539" t="s">
        <v>41</v>
      </c>
      <c r="D57" s="539" t="s">
        <v>28</v>
      </c>
      <c r="E57" s="540" t="s">
        <v>824</v>
      </c>
      <c r="F57" s="541">
        <v>26916</v>
      </c>
      <c r="G57" s="541">
        <v>26629</v>
      </c>
      <c r="H57" s="541">
        <v>26421</v>
      </c>
      <c r="I57" s="541">
        <v>26196</v>
      </c>
      <c r="J57" s="541">
        <v>25842</v>
      </c>
      <c r="K57" s="541">
        <v>25492</v>
      </c>
      <c r="L57" s="541">
        <v>25181</v>
      </c>
      <c r="M57" s="542">
        <v>24785</v>
      </c>
      <c r="N57" s="542">
        <v>24438</v>
      </c>
      <c r="O57" s="541">
        <v>24804</v>
      </c>
      <c r="P57" s="543">
        <v>24415</v>
      </c>
      <c r="Q57" s="25"/>
      <c r="R57" s="543">
        <f>Tabuľka15[[#This Row],[2022]]+P57*Q192</f>
        <v>24178.956081015207</v>
      </c>
      <c r="S57" s="543">
        <f t="shared" si="19"/>
        <v>23945.194231728947</v>
      </c>
      <c r="T57" s="543">
        <f t="shared" si="20"/>
        <v>23713.692389119511</v>
      </c>
      <c r="U57" s="543">
        <f t="shared" si="21"/>
        <v>23484.42870347021</v>
      </c>
      <c r="V57" s="543">
        <f t="shared" si="22"/>
        <v>23257.381536307152</v>
      </c>
      <c r="W57" s="543">
        <f t="shared" si="23"/>
        <v>23032.529458356938</v>
      </c>
      <c r="X57" s="543">
        <f t="shared" si="24"/>
        <v>22809.851247524119</v>
      </c>
      <c r="Y57" s="543">
        <f t="shared" si="25"/>
        <v>22589.325886888208</v>
      </c>
      <c r="Z57" s="543">
        <f t="shared" si="26"/>
        <v>22370.932562720041</v>
      </c>
      <c r="AA57" s="543">
        <f t="shared" si="27"/>
        <v>22154.650662517339</v>
      </c>
      <c r="AB57" s="543">
        <f t="shared" si="28"/>
        <v>21940.459773059232</v>
      </c>
    </row>
    <row r="58" spans="2:28">
      <c r="B58" s="539" t="s">
        <v>798</v>
      </c>
      <c r="C58" s="539" t="s">
        <v>41</v>
      </c>
      <c r="D58" s="539" t="s">
        <v>38</v>
      </c>
      <c r="E58" s="540" t="s">
        <v>825</v>
      </c>
      <c r="F58" s="541">
        <v>24517</v>
      </c>
      <c r="G58" s="541">
        <v>24522</v>
      </c>
      <c r="H58" s="541">
        <v>24500</v>
      </c>
      <c r="I58" s="541">
        <v>24500</v>
      </c>
      <c r="J58" s="541">
        <v>24557</v>
      </c>
      <c r="K58" s="541">
        <v>24587</v>
      </c>
      <c r="L58" s="541">
        <v>24597</v>
      </c>
      <c r="M58" s="541">
        <v>24649</v>
      </c>
      <c r="N58" s="541">
        <v>24546</v>
      </c>
      <c r="O58" s="541">
        <v>23077</v>
      </c>
      <c r="P58" s="543">
        <v>22890</v>
      </c>
      <c r="Q58" s="25"/>
      <c r="R58" s="543">
        <f>Tabuľka15[[#This Row],[2022]]+P58*Q193</f>
        <v>22737.202313547183</v>
      </c>
      <c r="S58" s="543">
        <f t="shared" si="19"/>
        <v>22585.424597954363</v>
      </c>
      <c r="T58" s="543">
        <f t="shared" si="20"/>
        <v>22434.660044606961</v>
      </c>
      <c r="U58" s="543">
        <f t="shared" si="21"/>
        <v>22284.90189033997</v>
      </c>
      <c r="V58" s="543">
        <f t="shared" si="22"/>
        <v>22136.143417134554</v>
      </c>
      <c r="W58" s="543">
        <f t="shared" si="23"/>
        <v>21988.377951816688</v>
      </c>
      <c r="X58" s="543">
        <f t="shared" si="24"/>
        <v>21841.598865757809</v>
      </c>
      <c r="Y58" s="543">
        <f t="shared" si="25"/>
        <v>21695.799574577457</v>
      </c>
      <c r="Z58" s="543">
        <f t="shared" si="26"/>
        <v>21550.973537847902</v>
      </c>
      <c r="AA58" s="543">
        <f t="shared" si="27"/>
        <v>21407.114258800761</v>
      </c>
      <c r="AB58" s="543">
        <f t="shared" si="28"/>
        <v>21264.215284035541</v>
      </c>
    </row>
    <row r="59" spans="2:28">
      <c r="B59" s="539" t="s">
        <v>49</v>
      </c>
      <c r="C59" s="539" t="s">
        <v>41</v>
      </c>
      <c r="D59" s="539" t="s">
        <v>23</v>
      </c>
      <c r="E59" s="540" t="s">
        <v>46</v>
      </c>
      <c r="F59" s="541">
        <v>55883</v>
      </c>
      <c r="G59" s="541">
        <v>55886</v>
      </c>
      <c r="H59" s="541">
        <v>55857</v>
      </c>
      <c r="I59" s="541">
        <v>55698</v>
      </c>
      <c r="J59" s="541">
        <v>55593</v>
      </c>
      <c r="K59" s="541">
        <v>55537</v>
      </c>
      <c r="L59" s="541">
        <v>55333</v>
      </c>
      <c r="M59" s="541">
        <v>55383</v>
      </c>
      <c r="N59" s="541">
        <v>55416</v>
      </c>
      <c r="O59" s="541">
        <v>54458</v>
      </c>
      <c r="P59" s="543">
        <v>54107</v>
      </c>
      <c r="Q59" s="25"/>
      <c r="R59" s="543">
        <f>Tabuľka15[[#This Row],[2022]]+P59*Q194</f>
        <v>53933.258157829849</v>
      </c>
      <c r="S59" s="543">
        <f t="shared" si="19"/>
        <v>53760.074214410699</v>
      </c>
      <c r="T59" s="543">
        <f t="shared" si="20"/>
        <v>53587.446378285691</v>
      </c>
      <c r="U59" s="543">
        <f t="shared" si="21"/>
        <v>53415.372863750461</v>
      </c>
      <c r="V59" s="543">
        <f t="shared" si="22"/>
        <v>53243.851890834689</v>
      </c>
      <c r="W59" s="543">
        <f t="shared" si="23"/>
        <v>53072.881685283683</v>
      </c>
      <c r="X59" s="543">
        <f t="shared" si="24"/>
        <v>52902.460478540015</v>
      </c>
      <c r="Y59" s="543">
        <f t="shared" si="25"/>
        <v>52732.586507725238</v>
      </c>
      <c r="Z59" s="543">
        <f t="shared" si="26"/>
        <v>52563.258015621643</v>
      </c>
      <c r="AA59" s="543">
        <f t="shared" si="27"/>
        <v>52394.473250654097</v>
      </c>
      <c r="AB59" s="543">
        <f t="shared" si="28"/>
        <v>52226.230466871901</v>
      </c>
    </row>
    <row r="60" spans="2:28">
      <c r="B60" s="539" t="s">
        <v>53</v>
      </c>
      <c r="C60" s="539" t="s">
        <v>41</v>
      </c>
      <c r="D60" s="539" t="s">
        <v>20</v>
      </c>
      <c r="E60" s="540" t="s">
        <v>21</v>
      </c>
      <c r="F60" s="541">
        <v>66073</v>
      </c>
      <c r="G60" s="541">
        <v>65978</v>
      </c>
      <c r="H60" s="541">
        <v>65713</v>
      </c>
      <c r="I60" s="541">
        <v>65596</v>
      </c>
      <c r="J60" s="541">
        <v>65536</v>
      </c>
      <c r="K60" s="541">
        <v>65382</v>
      </c>
      <c r="L60" s="541">
        <v>65207</v>
      </c>
      <c r="M60" s="541">
        <v>65033</v>
      </c>
      <c r="N60" s="541">
        <v>64735</v>
      </c>
      <c r="O60" s="541">
        <v>63194</v>
      </c>
      <c r="P60" s="543">
        <v>62806</v>
      </c>
      <c r="Q60" s="25"/>
      <c r="R60" s="543">
        <f>Tabuľka15[[#This Row],[2022]]+P60*Q195</f>
        <v>62489.638863206223</v>
      </c>
      <c r="S60" s="543">
        <f t="shared" si="19"/>
        <v>62174.871274303943</v>
      </c>
      <c r="T60" s="543">
        <f t="shared" si="20"/>
        <v>61861.689206406838</v>
      </c>
      <c r="U60" s="543">
        <f t="shared" si="21"/>
        <v>61550.084673060941</v>
      </c>
      <c r="V60" s="543">
        <f t="shared" si="22"/>
        <v>61240.049728040991</v>
      </c>
      <c r="W60" s="543">
        <f t="shared" si="23"/>
        <v>60931.576465147788</v>
      </c>
      <c r="X60" s="543">
        <f t="shared" si="24"/>
        <v>60624.657018006576</v>
      </c>
      <c r="Y60" s="543">
        <f t="shared" si="25"/>
        <v>60319.283559866439</v>
      </c>
      <c r="Z60" s="543">
        <f t="shared" si="26"/>
        <v>60015.448303400728</v>
      </c>
      <c r="AA60" s="543">
        <f t="shared" si="27"/>
        <v>59713.143500508457</v>
      </c>
      <c r="AB60" s="543">
        <f t="shared" si="28"/>
        <v>59412.361442116729</v>
      </c>
    </row>
    <row r="61" spans="2:28">
      <c r="B61" s="539" t="s">
        <v>799</v>
      </c>
      <c r="C61" s="539" t="s">
        <v>41</v>
      </c>
      <c r="D61" s="539" t="s">
        <v>34</v>
      </c>
      <c r="E61" s="540" t="s">
        <v>817</v>
      </c>
      <c r="F61" s="541">
        <v>5483</v>
      </c>
      <c r="G61" s="541">
        <v>5630</v>
      </c>
      <c r="H61" s="541">
        <v>5802</v>
      </c>
      <c r="I61" s="541">
        <v>5913</v>
      </c>
      <c r="J61" s="541">
        <v>6065</v>
      </c>
      <c r="K61" s="541">
        <v>6185</v>
      </c>
      <c r="L61" s="541">
        <v>6289</v>
      </c>
      <c r="M61" s="541">
        <v>6426</v>
      </c>
      <c r="N61" s="541">
        <v>6548</v>
      </c>
      <c r="O61" s="541">
        <v>6595</v>
      </c>
      <c r="P61" s="543">
        <v>6759</v>
      </c>
      <c r="Q61" s="25"/>
      <c r="R61" s="543">
        <f>Tabuľka15[[#This Row],[2022]]+P61*Q196</f>
        <v>6902.0293786896746</v>
      </c>
      <c r="S61" s="543">
        <f t="shared" si="19"/>
        <v>7048.0854481869173</v>
      </c>
      <c r="T61" s="543">
        <f t="shared" si="20"/>
        <v>7197.2322572719759</v>
      </c>
      <c r="U61" s="543">
        <f t="shared" si="21"/>
        <v>7349.535210081991</v>
      </c>
      <c r="V61" s="543">
        <f t="shared" si="22"/>
        <v>7505.0610947921423</v>
      </c>
      <c r="W61" s="543">
        <f t="shared" si="23"/>
        <v>7663.8781129037225</v>
      </c>
      <c r="X61" s="543">
        <f t="shared" si="24"/>
        <v>7826.0559091519863</v>
      </c>
      <c r="Y61" s="543">
        <f t="shared" si="25"/>
        <v>7991.6656020468918</v>
      </c>
      <c r="Z61" s="543">
        <f t="shared" si="26"/>
        <v>8160.7798150601202</v>
      </c>
      <c r="AA61" s="543">
        <f t="shared" si="27"/>
        <v>8333.472708472058</v>
      </c>
      <c r="AB61" s="543">
        <f t="shared" si="28"/>
        <v>8509.8200118926998</v>
      </c>
    </row>
    <row r="62" spans="2:28">
      <c r="B62" s="539" t="s">
        <v>800</v>
      </c>
      <c r="C62" s="539" t="s">
        <v>41</v>
      </c>
      <c r="D62" s="539" t="s">
        <v>28</v>
      </c>
      <c r="E62" s="540" t="s">
        <v>826</v>
      </c>
      <c r="F62" s="541">
        <v>8941</v>
      </c>
      <c r="G62" s="541">
        <v>8843</v>
      </c>
      <c r="H62" s="541">
        <v>8804</v>
      </c>
      <c r="I62" s="541">
        <v>8768</v>
      </c>
      <c r="J62" s="541">
        <v>8731</v>
      </c>
      <c r="K62" s="541">
        <v>8656</v>
      </c>
      <c r="L62" s="541">
        <v>8567</v>
      </c>
      <c r="M62" s="541">
        <v>8551</v>
      </c>
      <c r="N62" s="541">
        <v>8482</v>
      </c>
      <c r="O62" s="541">
        <v>8488</v>
      </c>
      <c r="P62" s="543">
        <v>8432</v>
      </c>
      <c r="Q62" s="25"/>
      <c r="R62" s="543">
        <f>Tabuľka15[[#This Row],[2022]]+P62*Q197</f>
        <v>8382.7748687364365</v>
      </c>
      <c r="S62" s="543">
        <f t="shared" si="19"/>
        <v>8333.8371086241914</v>
      </c>
      <c r="T62" s="543">
        <f t="shared" si="20"/>
        <v>8285.1850420206356</v>
      </c>
      <c r="U62" s="543">
        <f t="shared" si="21"/>
        <v>8236.8170010770427</v>
      </c>
      <c r="V62" s="543">
        <f t="shared" si="22"/>
        <v>8188.7313276814102</v>
      </c>
      <c r="W62" s="543">
        <f t="shared" si="23"/>
        <v>8140.9263734016222</v>
      </c>
      <c r="X62" s="543">
        <f t="shared" si="24"/>
        <v>8093.4004994289344</v>
      </c>
      <c r="Y62" s="543">
        <f t="shared" si="25"/>
        <v>8046.1520765217974</v>
      </c>
      <c r="Z62" s="543">
        <f t="shared" si="26"/>
        <v>7999.179484950002</v>
      </c>
      <c r="AA62" s="543">
        <f t="shared" si="27"/>
        <v>7952.4811144391542</v>
      </c>
      <c r="AB62" s="543">
        <f t="shared" si="28"/>
        <v>7906.0553641154729</v>
      </c>
    </row>
    <row r="63" spans="2:28">
      <c r="B63" s="539" t="s">
        <v>801</v>
      </c>
      <c r="C63" s="539" t="s">
        <v>41</v>
      </c>
      <c r="D63" s="539" t="s">
        <v>34</v>
      </c>
      <c r="E63" s="540" t="s">
        <v>827</v>
      </c>
      <c r="F63" s="541">
        <v>23157</v>
      </c>
      <c r="G63" s="541">
        <v>23041</v>
      </c>
      <c r="H63" s="541">
        <v>22898</v>
      </c>
      <c r="I63" s="541">
        <v>22762</v>
      </c>
      <c r="J63" s="541">
        <v>22682</v>
      </c>
      <c r="K63" s="541">
        <v>22589</v>
      </c>
      <c r="L63" s="541">
        <v>22465</v>
      </c>
      <c r="M63" s="541">
        <v>22245</v>
      </c>
      <c r="N63" s="541">
        <v>22079</v>
      </c>
      <c r="O63" s="541">
        <v>20955</v>
      </c>
      <c r="P63" s="543">
        <v>20702</v>
      </c>
      <c r="Q63" s="25"/>
      <c r="R63" s="543">
        <f>Tabuľka15[[#This Row],[2022]]+P63*Q198</f>
        <v>20473.250877923452</v>
      </c>
      <c r="S63" s="543">
        <f t="shared" si="19"/>
        <v>20247.029345492872</v>
      </c>
      <c r="T63" s="543">
        <f t="shared" si="20"/>
        <v>20023.307473816727</v>
      </c>
      <c r="U63" s="543">
        <f t="shared" si="21"/>
        <v>19802.057642606971</v>
      </c>
      <c r="V63" s="543">
        <f t="shared" si="22"/>
        <v>19583.252536769105</v>
      </c>
      <c r="W63" s="543">
        <f t="shared" si="23"/>
        <v>19366.865143029889</v>
      </c>
      <c r="X63" s="543">
        <f t="shared" si="24"/>
        <v>19152.868746602348</v>
      </c>
      <c r="Y63" s="543">
        <f t="shared" si="25"/>
        <v>18941.236927887603</v>
      </c>
      <c r="Z63" s="543">
        <f t="shared" si="26"/>
        <v>18731.943559213167</v>
      </c>
      <c r="AA63" s="543">
        <f t="shared" si="27"/>
        <v>18524.962801607264</v>
      </c>
      <c r="AB63" s="543">
        <f t="shared" si="28"/>
        <v>18320.269101608792</v>
      </c>
    </row>
    <row r="64" spans="2:28" hidden="1">
      <c r="B64" s="539" t="s">
        <v>802</v>
      </c>
      <c r="C64" s="539" t="s">
        <v>41</v>
      </c>
      <c r="D64" s="539" t="s">
        <v>26</v>
      </c>
      <c r="E64" s="540" t="s">
        <v>56</v>
      </c>
      <c r="F64" s="541">
        <v>7645</v>
      </c>
      <c r="G64" s="541">
        <v>7664</v>
      </c>
      <c r="H64" s="541">
        <v>7666</v>
      </c>
      <c r="I64" s="541">
        <v>7745</v>
      </c>
      <c r="J64" s="541">
        <v>7749</v>
      </c>
      <c r="K64" s="541">
        <v>7760</v>
      </c>
      <c r="L64" s="541">
        <v>7762</v>
      </c>
      <c r="M64" s="541">
        <v>7748</v>
      </c>
      <c r="N64" s="541">
        <v>7731</v>
      </c>
      <c r="O64" s="541">
        <v>7480</v>
      </c>
      <c r="P64" s="543">
        <v>7424</v>
      </c>
      <c r="Q64" s="25"/>
      <c r="R64" s="543">
        <f>Tabuľka15[[#This Row],[2022]]+P64*Q199</f>
        <v>7402.6887576217459</v>
      </c>
      <c r="S64" s="543">
        <f t="shared" si="19"/>
        <v>7381.4386910317071</v>
      </c>
      <c r="T64" s="543">
        <f t="shared" si="20"/>
        <v>7360.2496246194232</v>
      </c>
      <c r="U64" s="543">
        <f t="shared" si="21"/>
        <v>7339.1213832785406</v>
      </c>
      <c r="V64" s="543">
        <f t="shared" si="22"/>
        <v>7318.0537924053624</v>
      </c>
      <c r="W64" s="543">
        <f t="shared" si="23"/>
        <v>7297.0466778974087</v>
      </c>
      <c r="X64" s="543">
        <f t="shared" si="24"/>
        <v>7276.0998661519743</v>
      </c>
      <c r="Y64" s="543">
        <f t="shared" si="25"/>
        <v>7255.2131840646971</v>
      </c>
      <c r="Z64" s="543">
        <f t="shared" si="26"/>
        <v>7234.3864590281255</v>
      </c>
      <c r="AA64" s="543">
        <f t="shared" si="27"/>
        <v>7213.6195189302935</v>
      </c>
      <c r="AB64" s="543">
        <f t="shared" si="28"/>
        <v>7192.9121921532969</v>
      </c>
    </row>
    <row r="65" spans="2:28">
      <c r="B65" s="539" t="s">
        <v>803</v>
      </c>
      <c r="C65" s="539" t="s">
        <v>41</v>
      </c>
      <c r="D65" s="539" t="s">
        <v>34</v>
      </c>
      <c r="E65" s="540" t="s">
        <v>35</v>
      </c>
      <c r="F65" s="541">
        <v>4203</v>
      </c>
      <c r="G65" s="541">
        <v>4158</v>
      </c>
      <c r="H65" s="541">
        <v>4113</v>
      </c>
      <c r="I65" s="541">
        <v>4087</v>
      </c>
      <c r="J65" s="541">
        <v>4069</v>
      </c>
      <c r="K65" s="541">
        <v>4070</v>
      </c>
      <c r="L65" s="541">
        <v>4042</v>
      </c>
      <c r="M65" s="542">
        <v>4009</v>
      </c>
      <c r="N65" s="542">
        <v>4003</v>
      </c>
      <c r="O65" s="541">
        <v>3851</v>
      </c>
      <c r="P65" s="543">
        <v>3838</v>
      </c>
      <c r="Q65" s="25"/>
      <c r="R65" s="543">
        <f>Tabuľka15[[#This Row],[2022]]+P65*Q200</f>
        <v>3803.4976084866221</v>
      </c>
      <c r="S65" s="543">
        <f t="shared" si="19"/>
        <v>3769.3053824292479</v>
      </c>
      <c r="T65" s="543">
        <f t="shared" si="20"/>
        <v>3735.4205335397073</v>
      </c>
      <c r="U65" s="543">
        <f t="shared" si="21"/>
        <v>3701.8402985956486</v>
      </c>
      <c r="V65" s="543">
        <f t="shared" si="22"/>
        <v>3668.5619392152039</v>
      </c>
      <c r="W65" s="543">
        <f t="shared" si="23"/>
        <v>3635.5827416336824</v>
      </c>
      <c r="X65" s="543">
        <f t="shared" si="24"/>
        <v>3602.9000164822687</v>
      </c>
      <c r="Y65" s="543">
        <f t="shared" si="25"/>
        <v>3570.5110985687129</v>
      </c>
      <c r="Z65" s="543">
        <f t="shared" si="26"/>
        <v>3538.4133466599897</v>
      </c>
      <c r="AA65" s="543">
        <f t="shared" si="27"/>
        <v>3506.604143266914</v>
      </c>
      <c r="AB65" s="543">
        <f t="shared" si="28"/>
        <v>3475.08089443069</v>
      </c>
    </row>
    <row r="66" spans="2:28" hidden="1">
      <c r="B66" s="539" t="s">
        <v>804</v>
      </c>
      <c r="C66" s="539" t="s">
        <v>41</v>
      </c>
      <c r="D66" s="539" t="s">
        <v>30</v>
      </c>
      <c r="E66" s="540" t="s">
        <v>32</v>
      </c>
      <c r="F66" s="541">
        <v>19789</v>
      </c>
      <c r="G66" s="541">
        <v>19647</v>
      </c>
      <c r="H66" s="541">
        <v>19558</v>
      </c>
      <c r="I66" s="541">
        <v>19370</v>
      </c>
      <c r="J66" s="541">
        <v>19301</v>
      </c>
      <c r="K66" s="541">
        <v>19188</v>
      </c>
      <c r="L66" s="541">
        <v>19083</v>
      </c>
      <c r="M66" s="541">
        <v>18852</v>
      </c>
      <c r="N66" s="541">
        <v>18669</v>
      </c>
      <c r="O66" s="541">
        <v>17246</v>
      </c>
      <c r="P66" s="543">
        <v>17032</v>
      </c>
      <c r="Q66" s="25"/>
      <c r="R66" s="543">
        <f>Tabuľka15[[#This Row],[2022]]+P66*Q201</f>
        <v>16782.224718319056</v>
      </c>
      <c r="S66" s="543">
        <f t="shared" si="19"/>
        <v>16536.112405833672</v>
      </c>
      <c r="T66" s="543">
        <f t="shared" si="20"/>
        <v>16293.60934488517</v>
      </c>
      <c r="U66" s="543">
        <f t="shared" si="21"/>
        <v>16054.662605587497</v>
      </c>
      <c r="V66" s="543">
        <f t="shared" si="22"/>
        <v>15819.220034274489</v>
      </c>
      <c r="W66" s="543">
        <f t="shared" si="23"/>
        <v>15587.230242116564</v>
      </c>
      <c r="X66" s="543">
        <f t="shared" si="24"/>
        <v>15358.642593904351</v>
      </c>
      <c r="Y66" s="543">
        <f t="shared" si="25"/>
        <v>15133.407196996799</v>
      </c>
      <c r="Z66" s="543">
        <f t="shared" si="26"/>
        <v>14911.474890431373</v>
      </c>
      <c r="AA66" s="543">
        <f t="shared" si="27"/>
        <v>14692.797234193946</v>
      </c>
      <c r="AB66" s="543">
        <f t="shared" si="28"/>
        <v>14477.326498646047</v>
      </c>
    </row>
    <row r="67" spans="2:28" hidden="1">
      <c r="B67" s="539" t="s">
        <v>54</v>
      </c>
      <c r="C67" s="539" t="s">
        <v>41</v>
      </c>
      <c r="D67" s="539" t="s">
        <v>26</v>
      </c>
      <c r="E67" s="540" t="s">
        <v>828</v>
      </c>
      <c r="F67" s="541">
        <v>81382</v>
      </c>
      <c r="G67" s="541">
        <v>81273</v>
      </c>
      <c r="H67" s="541">
        <v>81155</v>
      </c>
      <c r="I67" s="541">
        <v>81114</v>
      </c>
      <c r="J67" s="541">
        <v>81041</v>
      </c>
      <c r="K67" s="541">
        <v>80978</v>
      </c>
      <c r="L67" s="541">
        <v>80810</v>
      </c>
      <c r="M67" s="541">
        <v>80727</v>
      </c>
      <c r="N67" s="541">
        <v>80386</v>
      </c>
      <c r="O67" s="541">
        <v>81940</v>
      </c>
      <c r="P67" s="543">
        <v>81219</v>
      </c>
      <c r="Q67" s="25"/>
      <c r="R67" s="543">
        <f>Tabuľka15[[#This Row],[2022]]+P67*Q202</f>
        <v>81204.648067162023</v>
      </c>
      <c r="S67" s="543">
        <f t="shared" si="19"/>
        <v>81190.298670405216</v>
      </c>
      <c r="T67" s="543">
        <f t="shared" si="20"/>
        <v>81175.951809281425</v>
      </c>
      <c r="U67" s="543">
        <f t="shared" si="21"/>
        <v>81161.607483342596</v>
      </c>
      <c r="V67" s="543">
        <f t="shared" si="22"/>
        <v>81147.265692140747</v>
      </c>
      <c r="W67" s="543">
        <f t="shared" si="23"/>
        <v>81132.926435227972</v>
      </c>
      <c r="X67" s="543">
        <f t="shared" si="24"/>
        <v>81118.589712156434</v>
      </c>
      <c r="Y67" s="543">
        <f t="shared" si="25"/>
        <v>81104.255522478401</v>
      </c>
      <c r="Z67" s="543">
        <f t="shared" si="26"/>
        <v>81089.923865746197</v>
      </c>
      <c r="AA67" s="543">
        <f t="shared" si="27"/>
        <v>81075.594741512235</v>
      </c>
      <c r="AB67" s="543">
        <f t="shared" si="28"/>
        <v>81061.268149329015</v>
      </c>
    </row>
    <row r="68" spans="2:28">
      <c r="B68" s="539" t="s">
        <v>805</v>
      </c>
      <c r="C68" s="539" t="s">
        <v>41</v>
      </c>
      <c r="D68" s="539" t="s">
        <v>28</v>
      </c>
      <c r="E68" s="540" t="s">
        <v>826</v>
      </c>
      <c r="F68" s="541">
        <v>12150</v>
      </c>
      <c r="G68" s="541">
        <v>12007</v>
      </c>
      <c r="H68" s="541">
        <v>11855</v>
      </c>
      <c r="I68" s="541">
        <v>11787</v>
      </c>
      <c r="J68" s="541">
        <v>11656</v>
      </c>
      <c r="K68" s="541">
        <v>11583</v>
      </c>
      <c r="L68" s="541">
        <v>11465</v>
      </c>
      <c r="M68" s="542">
        <v>11375</v>
      </c>
      <c r="N68" s="542">
        <v>11228</v>
      </c>
      <c r="O68" s="541">
        <v>11811</v>
      </c>
      <c r="P68" s="543">
        <v>11820</v>
      </c>
      <c r="Q68" s="25"/>
      <c r="R68" s="543">
        <f>Tabuľka15[[#This Row],[2022]]+P68*Q203</f>
        <v>11789.485193827717</v>
      </c>
      <c r="S68" s="543">
        <f t="shared" si="19"/>
        <v>11759.049165438491</v>
      </c>
      <c r="T68" s="543">
        <f t="shared" si="20"/>
        <v>11728.691711457637</v>
      </c>
      <c r="U68" s="543">
        <f t="shared" si="21"/>
        <v>11698.412629035507</v>
      </c>
      <c r="V68" s="543">
        <f t="shared" si="22"/>
        <v>11668.211715846133</v>
      </c>
      <c r="W68" s="543">
        <f t="shared" si="23"/>
        <v>11638.08877008588</v>
      </c>
      <c r="X68" s="543">
        <f t="shared" si="24"/>
        <v>11608.043590472091</v>
      </c>
      <c r="Y68" s="543">
        <f t="shared" si="25"/>
        <v>11578.075976241747</v>
      </c>
      <c r="Z68" s="543">
        <f t="shared" si="26"/>
        <v>11548.185727150125</v>
      </c>
      <c r="AA68" s="543">
        <f t="shared" si="27"/>
        <v>11518.372643469456</v>
      </c>
      <c r="AB68" s="543">
        <f t="shared" si="28"/>
        <v>11488.636525987597</v>
      </c>
    </row>
    <row r="69" spans="2:28" hidden="1">
      <c r="B69" s="539" t="s">
        <v>42</v>
      </c>
      <c r="C69" s="539" t="s">
        <v>41</v>
      </c>
      <c r="D69" s="539" t="s">
        <v>30</v>
      </c>
      <c r="E69" s="540" t="s">
        <v>32</v>
      </c>
      <c r="F69" s="541">
        <v>43148</v>
      </c>
      <c r="G69" s="541">
        <v>43100</v>
      </c>
      <c r="H69" s="541">
        <v>43047</v>
      </c>
      <c r="I69" s="541">
        <v>42868</v>
      </c>
      <c r="J69" s="541">
        <v>42688</v>
      </c>
      <c r="K69" s="541">
        <v>42476</v>
      </c>
      <c r="L69" s="541">
        <v>42321</v>
      </c>
      <c r="M69" s="542">
        <v>42167</v>
      </c>
      <c r="N69" s="542">
        <v>42092</v>
      </c>
      <c r="O69" s="541">
        <v>40239</v>
      </c>
      <c r="P69" s="543">
        <v>39844</v>
      </c>
      <c r="Q69" s="553"/>
      <c r="R69" s="543">
        <f>Tabuľka15[[#This Row],[2022]]+P69*Q204</f>
        <v>39530.940995370758</v>
      </c>
      <c r="S69" s="543">
        <f t="shared" ref="S69" si="29">R69+R69*Q204</f>
        <v>39220.341732242858</v>
      </c>
      <c r="T69" s="543">
        <f t="shared" si="20"/>
        <v>38912.182884137379</v>
      </c>
      <c r="U69" s="543">
        <f t="shared" si="21"/>
        <v>38606.445276425824</v>
      </c>
      <c r="V69" s="543">
        <f t="shared" si="22"/>
        <v>38303.109885137019</v>
      </c>
      <c r="W69" s="543">
        <f t="shared" si="23"/>
        <v>38002.15783577336</v>
      </c>
      <c r="X69" s="543">
        <f t="shared" si="24"/>
        <v>37703.570402136407</v>
      </c>
      <c r="Y69" s="543">
        <f t="shared" si="25"/>
        <v>37407.329005161671</v>
      </c>
      <c r="Z69" s="543">
        <f t="shared" si="26"/>
        <v>37113.415211762549</v>
      </c>
      <c r="AA69" s="543">
        <f t="shared" si="27"/>
        <v>36821.810733683385</v>
      </c>
      <c r="AB69" s="543">
        <f t="shared" si="28"/>
        <v>36532.4974263615</v>
      </c>
    </row>
    <row r="70" spans="2:28" ht="13.15" customHeight="1">
      <c r="B70" s="562" t="s">
        <v>203</v>
      </c>
      <c r="C70" s="549"/>
      <c r="D70" s="549"/>
      <c r="E70" s="549"/>
      <c r="F70" s="550">
        <f>SUBTOTAL(109,F5:F69)</f>
        <v>1426522</v>
      </c>
      <c r="G70" s="550">
        <f t="shared" ref="G70:AB70" si="30">SUBTOTAL(109,G5:G69)</f>
        <v>1422028</v>
      </c>
      <c r="H70" s="550">
        <f t="shared" si="30"/>
        <v>1415714</v>
      </c>
      <c r="I70" s="550">
        <f t="shared" si="30"/>
        <v>1410928</v>
      </c>
      <c r="J70" s="550">
        <f t="shared" si="30"/>
        <v>1405879</v>
      </c>
      <c r="K70" s="550">
        <f t="shared" si="30"/>
        <v>1400220</v>
      </c>
      <c r="L70" s="550">
        <f t="shared" si="30"/>
        <v>1393967</v>
      </c>
      <c r="M70" s="550">
        <f t="shared" si="30"/>
        <v>1388082</v>
      </c>
      <c r="N70" s="550">
        <f t="shared" si="30"/>
        <v>1380040</v>
      </c>
      <c r="O70" s="550">
        <f t="shared" si="30"/>
        <v>1342259</v>
      </c>
      <c r="P70" s="550">
        <f t="shared" si="30"/>
        <v>1330340</v>
      </c>
      <c r="Q70" s="550">
        <f t="shared" si="30"/>
        <v>0</v>
      </c>
      <c r="R70" s="550">
        <f t="shared" si="30"/>
        <v>1321297.3435261075</v>
      </c>
      <c r="S70" s="550">
        <f t="shared" si="30"/>
        <v>1312341.6724580207</v>
      </c>
      <c r="T70" s="550">
        <f t="shared" si="30"/>
        <v>1303472.2546754286</v>
      </c>
      <c r="U70" s="550">
        <f t="shared" si="30"/>
        <v>1294688.3683371316</v>
      </c>
      <c r="V70" s="550">
        <f t="shared" si="30"/>
        <v>1285989.3018172649</v>
      </c>
      <c r="W70" s="550">
        <f t="shared" si="30"/>
        <v>1277374.3536433647</v>
      </c>
      <c r="X70" s="550">
        <f t="shared" si="30"/>
        <v>1268842.8324362796</v>
      </c>
      <c r="Y70" s="550">
        <f t="shared" si="30"/>
        <v>1260394.0568519433</v>
      </c>
      <c r="Z70" s="550">
        <f t="shared" si="30"/>
        <v>1252027.3555249877</v>
      </c>
      <c r="AA70" s="550">
        <f t="shared" si="30"/>
        <v>1243742.0670142244</v>
      </c>
      <c r="AB70" s="550">
        <f t="shared" si="30"/>
        <v>1235537.539749969</v>
      </c>
    </row>
    <row r="72" spans="2:28">
      <c r="B72" s="535" t="s">
        <v>214</v>
      </c>
      <c r="C72" s="536" t="s">
        <v>12</v>
      </c>
      <c r="D72" s="536" t="s">
        <v>13</v>
      </c>
      <c r="E72" s="536" t="s">
        <v>207</v>
      </c>
      <c r="F72" s="536" t="s">
        <v>299</v>
      </c>
      <c r="G72" s="536" t="s">
        <v>300</v>
      </c>
      <c r="H72" s="536" t="s">
        <v>301</v>
      </c>
      <c r="I72" s="536" t="s">
        <v>302</v>
      </c>
      <c r="J72" s="536" t="s">
        <v>303</v>
      </c>
      <c r="K72" s="536" t="s">
        <v>304</v>
      </c>
      <c r="L72" s="536" t="s">
        <v>305</v>
      </c>
      <c r="M72" s="536" t="s">
        <v>306</v>
      </c>
      <c r="N72" s="536" t="s">
        <v>307</v>
      </c>
      <c r="O72" s="536" t="s">
        <v>308</v>
      </c>
      <c r="P72" s="536" t="s">
        <v>309</v>
      </c>
      <c r="Q72" s="538" t="s">
        <v>153</v>
      </c>
      <c r="R72" s="537" t="s">
        <v>340</v>
      </c>
      <c r="S72" s="537" t="s">
        <v>341</v>
      </c>
      <c r="T72" s="537" t="s">
        <v>342</v>
      </c>
      <c r="U72" s="537" t="s">
        <v>343</v>
      </c>
      <c r="V72" s="537" t="s">
        <v>344</v>
      </c>
      <c r="W72" s="537" t="s">
        <v>345</v>
      </c>
      <c r="X72" s="537" t="s">
        <v>346</v>
      </c>
      <c r="Y72" s="537" t="s">
        <v>347</v>
      </c>
      <c r="Z72" s="537" t="s">
        <v>348</v>
      </c>
      <c r="AA72" s="537" t="s">
        <v>349</v>
      </c>
      <c r="AB72" s="537" t="s">
        <v>350</v>
      </c>
    </row>
    <row r="73" spans="2:28">
      <c r="B73" s="539" t="s">
        <v>758</v>
      </c>
      <c r="C73" s="539" t="s">
        <v>41</v>
      </c>
      <c r="D73" s="539" t="s">
        <v>23</v>
      </c>
      <c r="E73" s="540" t="s">
        <v>24</v>
      </c>
      <c r="F73" s="541"/>
      <c r="G73" s="541">
        <f t="shared" ref="G73:P73" si="31">G5-F5</f>
        <v>-190</v>
      </c>
      <c r="H73" s="541">
        <f t="shared" si="31"/>
        <v>-200</v>
      </c>
      <c r="I73" s="541">
        <f t="shared" si="31"/>
        <v>-110</v>
      </c>
      <c r="J73" s="541">
        <f t="shared" si="31"/>
        <v>-217</v>
      </c>
      <c r="K73" s="541">
        <f t="shared" si="31"/>
        <v>-256</v>
      </c>
      <c r="L73" s="541">
        <f t="shared" si="31"/>
        <v>-268</v>
      </c>
      <c r="M73" s="541">
        <f t="shared" si="31"/>
        <v>-332</v>
      </c>
      <c r="N73" s="541">
        <f t="shared" si="31"/>
        <v>-333</v>
      </c>
      <c r="O73" s="541">
        <f t="shared" si="31"/>
        <v>-474</v>
      </c>
      <c r="P73" s="541">
        <f t="shared" si="31"/>
        <v>-329</v>
      </c>
      <c r="Q73" s="560">
        <f>AVERAGE(Tabuľka157[[#This Row],[2013]:[2022]])</f>
        <v>-270.89999999999998</v>
      </c>
      <c r="R73" s="544"/>
      <c r="S73" s="544"/>
      <c r="T73" s="544"/>
      <c r="U73" s="544"/>
      <c r="V73" s="544"/>
      <c r="W73" s="544"/>
      <c r="X73" s="545"/>
      <c r="Y73" s="545"/>
      <c r="Z73" s="544"/>
      <c r="AA73" s="545"/>
      <c r="AB73" s="544"/>
    </row>
    <row r="74" spans="2:28">
      <c r="B74" s="539" t="s">
        <v>40</v>
      </c>
      <c r="C74" s="539" t="s">
        <v>41</v>
      </c>
      <c r="D74" s="539" t="s">
        <v>30</v>
      </c>
      <c r="E74" s="540" t="s">
        <v>99</v>
      </c>
      <c r="F74" s="546"/>
      <c r="G74" s="541">
        <f t="shared" ref="G74:P74" si="32">G6-F6</f>
        <v>-215</v>
      </c>
      <c r="H74" s="541">
        <f t="shared" si="32"/>
        <v>-341</v>
      </c>
      <c r="I74" s="541">
        <f t="shared" si="32"/>
        <v>-269</v>
      </c>
      <c r="J74" s="541">
        <f t="shared" si="32"/>
        <v>-123</v>
      </c>
      <c r="K74" s="541">
        <f t="shared" si="32"/>
        <v>-151</v>
      </c>
      <c r="L74" s="541">
        <f t="shared" si="32"/>
        <v>-157</v>
      </c>
      <c r="M74" s="541">
        <f t="shared" si="32"/>
        <v>-243</v>
      </c>
      <c r="N74" s="541">
        <f t="shared" si="32"/>
        <v>-365</v>
      </c>
      <c r="O74" s="541">
        <f t="shared" si="32"/>
        <v>-2402</v>
      </c>
      <c r="P74" s="541">
        <f t="shared" si="32"/>
        <v>-727</v>
      </c>
      <c r="Q74" s="560">
        <f>AVERAGE(Tabuľka157[[#This Row],[2013]:[2022]])</f>
        <v>-499.3</v>
      </c>
      <c r="R74" s="25"/>
      <c r="S74" s="25"/>
      <c r="T74" s="25"/>
      <c r="U74" s="25"/>
      <c r="V74" s="25"/>
      <c r="W74" s="25"/>
      <c r="X74" s="25"/>
      <c r="Y74" s="25"/>
      <c r="Z74" s="25"/>
      <c r="AA74" s="25"/>
      <c r="AB74" s="25"/>
    </row>
    <row r="75" spans="2:28">
      <c r="B75" s="539" t="s">
        <v>59</v>
      </c>
      <c r="C75" s="539" t="s">
        <v>41</v>
      </c>
      <c r="D75" s="539" t="s">
        <v>34</v>
      </c>
      <c r="E75" s="540" t="s">
        <v>36</v>
      </c>
      <c r="F75" s="546"/>
      <c r="G75" s="541">
        <f t="shared" ref="G75:P75" si="33">G7-F7</f>
        <v>-155</v>
      </c>
      <c r="H75" s="541">
        <f t="shared" si="33"/>
        <v>-236</v>
      </c>
      <c r="I75" s="541">
        <f t="shared" si="33"/>
        <v>-148</v>
      </c>
      <c r="J75" s="541">
        <f t="shared" si="33"/>
        <v>-213</v>
      </c>
      <c r="K75" s="541">
        <f t="shared" si="33"/>
        <v>-112</v>
      </c>
      <c r="L75" s="541">
        <f t="shared" si="33"/>
        <v>-138</v>
      </c>
      <c r="M75" s="541">
        <f t="shared" si="33"/>
        <v>-156</v>
      </c>
      <c r="N75" s="541">
        <f t="shared" si="33"/>
        <v>-194</v>
      </c>
      <c r="O75" s="541">
        <f t="shared" si="33"/>
        <v>-1520</v>
      </c>
      <c r="P75" s="541">
        <f t="shared" si="33"/>
        <v>-312</v>
      </c>
      <c r="Q75" s="560">
        <f>AVERAGE(Tabuľka157[[#This Row],[2013]:[2022]])</f>
        <v>-318.39999999999998</v>
      </c>
      <c r="R75" s="25"/>
      <c r="S75" s="25"/>
      <c r="T75" s="25"/>
      <c r="U75" s="25"/>
      <c r="V75" s="25"/>
      <c r="W75" s="25"/>
      <c r="X75" s="25"/>
      <c r="Y75" s="25"/>
      <c r="Z75" s="25"/>
      <c r="AA75" s="25"/>
      <c r="AB75" s="25"/>
    </row>
    <row r="76" spans="2:28">
      <c r="B76" s="539" t="s">
        <v>759</v>
      </c>
      <c r="C76" s="539" t="s">
        <v>41</v>
      </c>
      <c r="D76" s="539" t="s">
        <v>23</v>
      </c>
      <c r="E76" s="540" t="s">
        <v>24</v>
      </c>
      <c r="F76" s="546"/>
      <c r="G76" s="541">
        <f t="shared" ref="G76:P76" si="34">G8-F8</f>
        <v>-4</v>
      </c>
      <c r="H76" s="541">
        <f t="shared" si="34"/>
        <v>-21</v>
      </c>
      <c r="I76" s="541">
        <f t="shared" si="34"/>
        <v>41</v>
      </c>
      <c r="J76" s="541">
        <f t="shared" si="34"/>
        <v>-19</v>
      </c>
      <c r="K76" s="541">
        <f t="shared" si="34"/>
        <v>12</v>
      </c>
      <c r="L76" s="541">
        <f t="shared" si="34"/>
        <v>18</v>
      </c>
      <c r="M76" s="541">
        <f t="shared" si="34"/>
        <v>40</v>
      </c>
      <c r="N76" s="541">
        <f t="shared" si="34"/>
        <v>30</v>
      </c>
      <c r="O76" s="541">
        <f t="shared" si="34"/>
        <v>-39</v>
      </c>
      <c r="P76" s="541">
        <f t="shared" si="34"/>
        <v>52</v>
      </c>
      <c r="Q76" s="560">
        <f>AVERAGE(Tabuľka157[[#This Row],[2013]:[2022]])</f>
        <v>11</v>
      </c>
      <c r="R76" s="25"/>
      <c r="S76" s="25"/>
      <c r="T76" s="25"/>
      <c r="U76" s="25"/>
      <c r="V76" s="25"/>
      <c r="W76" s="25"/>
      <c r="X76" s="25"/>
      <c r="Y76" s="25"/>
      <c r="Z76" s="25"/>
      <c r="AA76" s="25"/>
      <c r="AB76" s="25"/>
    </row>
    <row r="77" spans="2:28">
      <c r="B77" s="539" t="s">
        <v>43</v>
      </c>
      <c r="C77" s="539" t="s">
        <v>41</v>
      </c>
      <c r="D77" s="539" t="s">
        <v>18</v>
      </c>
      <c r="E77" s="540" t="s">
        <v>807</v>
      </c>
      <c r="F77" s="546"/>
      <c r="G77" s="541">
        <f t="shared" ref="G77:P77" si="35">G9-F9</f>
        <v>1800</v>
      </c>
      <c r="H77" s="541">
        <f t="shared" si="35"/>
        <v>2289</v>
      </c>
      <c r="I77" s="541">
        <f t="shared" si="35"/>
        <v>3254</v>
      </c>
      <c r="J77" s="541">
        <f t="shared" si="35"/>
        <v>2991</v>
      </c>
      <c r="K77" s="541">
        <f t="shared" si="35"/>
        <v>3641</v>
      </c>
      <c r="L77" s="541">
        <f t="shared" si="35"/>
        <v>3300</v>
      </c>
      <c r="M77" s="541">
        <f t="shared" si="35"/>
        <v>4862</v>
      </c>
      <c r="N77" s="541">
        <f t="shared" si="35"/>
        <v>3222</v>
      </c>
      <c r="O77" s="541">
        <f t="shared" si="35"/>
        <v>34629</v>
      </c>
      <c r="P77" s="541">
        <f t="shared" si="35"/>
        <v>1345</v>
      </c>
      <c r="Q77" s="560">
        <f>AVERAGE(Tabuľka157[[#This Row],[2013]:[2022]])</f>
        <v>6133.3</v>
      </c>
      <c r="R77" s="25"/>
      <c r="S77" s="25"/>
      <c r="T77" s="25"/>
      <c r="U77" s="25"/>
      <c r="V77" s="25"/>
      <c r="W77" s="25"/>
      <c r="X77" s="25"/>
      <c r="Y77" s="25"/>
      <c r="Z77" s="25"/>
      <c r="AA77" s="25"/>
      <c r="AB77" s="25"/>
    </row>
    <row r="78" spans="2:28">
      <c r="B78" s="539" t="s">
        <v>760</v>
      </c>
      <c r="C78" s="539" t="s">
        <v>41</v>
      </c>
      <c r="D78" s="539" t="s">
        <v>30</v>
      </c>
      <c r="E78" s="540" t="s">
        <v>32</v>
      </c>
      <c r="F78" s="546"/>
      <c r="G78" s="541">
        <f t="shared" ref="G78:P78" si="36">G10-F10</f>
        <v>-169</v>
      </c>
      <c r="H78" s="541">
        <f t="shared" si="36"/>
        <v>-203</v>
      </c>
      <c r="I78" s="541">
        <f t="shared" si="36"/>
        <v>-116</v>
      </c>
      <c r="J78" s="541">
        <f t="shared" si="36"/>
        <v>-67</v>
      </c>
      <c r="K78" s="541">
        <f t="shared" si="36"/>
        <v>-66</v>
      </c>
      <c r="L78" s="541">
        <f t="shared" si="36"/>
        <v>-129</v>
      </c>
      <c r="M78" s="541">
        <f t="shared" si="36"/>
        <v>-64</v>
      </c>
      <c r="N78" s="541">
        <f t="shared" si="36"/>
        <v>-153</v>
      </c>
      <c r="O78" s="541">
        <f t="shared" si="36"/>
        <v>-780</v>
      </c>
      <c r="P78" s="541">
        <f t="shared" si="36"/>
        <v>-90</v>
      </c>
      <c r="Q78" s="560">
        <f>AVERAGE(Tabuľka157[[#This Row],[2013]:[2022]])</f>
        <v>-183.7</v>
      </c>
      <c r="R78" s="25"/>
      <c r="S78" s="25"/>
      <c r="T78" s="25"/>
      <c r="U78" s="25"/>
      <c r="V78" s="25"/>
      <c r="W78" s="25"/>
      <c r="X78" s="27"/>
      <c r="Y78" s="27"/>
      <c r="Z78" s="25"/>
      <c r="AA78" s="27"/>
      <c r="AB78" s="25"/>
    </row>
    <row r="79" spans="2:28">
      <c r="B79" s="539" t="s">
        <v>761</v>
      </c>
      <c r="C79" s="539" t="s">
        <v>41</v>
      </c>
      <c r="D79" s="539" t="s">
        <v>26</v>
      </c>
      <c r="E79" s="540" t="s">
        <v>808</v>
      </c>
      <c r="F79" s="541"/>
      <c r="G79" s="541">
        <f t="shared" ref="G79:P79" si="37">G11-F11</f>
        <v>-52</v>
      </c>
      <c r="H79" s="541">
        <f t="shared" si="37"/>
        <v>-69</v>
      </c>
      <c r="I79" s="541">
        <f t="shared" si="37"/>
        <v>-91</v>
      </c>
      <c r="J79" s="541">
        <f t="shared" si="37"/>
        <v>-148</v>
      </c>
      <c r="K79" s="541">
        <f t="shared" si="37"/>
        <v>-116</v>
      </c>
      <c r="L79" s="541">
        <f t="shared" si="37"/>
        <v>-201</v>
      </c>
      <c r="M79" s="541">
        <f t="shared" si="37"/>
        <v>-173</v>
      </c>
      <c r="N79" s="541">
        <f t="shared" si="37"/>
        <v>-239</v>
      </c>
      <c r="O79" s="541">
        <f t="shared" si="37"/>
        <v>-739</v>
      </c>
      <c r="P79" s="541">
        <f t="shared" si="37"/>
        <v>-233</v>
      </c>
      <c r="Q79" s="560">
        <f>AVERAGE(Tabuľka157[[#This Row],[2013]:[2022]])</f>
        <v>-206.1</v>
      </c>
      <c r="R79" s="25"/>
      <c r="S79" s="25"/>
      <c r="T79" s="25"/>
      <c r="U79" s="25"/>
      <c r="V79" s="25"/>
      <c r="W79" s="25"/>
      <c r="X79" s="25"/>
      <c r="Y79" s="25"/>
      <c r="Z79" s="25"/>
      <c r="AA79" s="25"/>
      <c r="AB79" s="25"/>
    </row>
    <row r="80" spans="2:28">
      <c r="B80" s="539" t="s">
        <v>762</v>
      </c>
      <c r="C80" s="539" t="s">
        <v>41</v>
      </c>
      <c r="D80" s="539" t="s">
        <v>26</v>
      </c>
      <c r="E80" s="540" t="s">
        <v>809</v>
      </c>
      <c r="F80" s="541"/>
      <c r="G80" s="541">
        <f t="shared" ref="G80:P80" si="38">G12-F12</f>
        <v>-48</v>
      </c>
      <c r="H80" s="541">
        <f t="shared" si="38"/>
        <v>-133</v>
      </c>
      <c r="I80" s="541">
        <f t="shared" si="38"/>
        <v>-95</v>
      </c>
      <c r="J80" s="541">
        <f t="shared" si="38"/>
        <v>-201</v>
      </c>
      <c r="K80" s="541">
        <f t="shared" si="38"/>
        <v>-90</v>
      </c>
      <c r="L80" s="541">
        <f t="shared" si="38"/>
        <v>-84</v>
      </c>
      <c r="M80" s="541">
        <f t="shared" si="38"/>
        <v>-156</v>
      </c>
      <c r="N80" s="541">
        <f t="shared" si="38"/>
        <v>-115</v>
      </c>
      <c r="O80" s="541">
        <f t="shared" si="38"/>
        <v>-634</v>
      </c>
      <c r="P80" s="541">
        <f t="shared" si="38"/>
        <v>-196</v>
      </c>
      <c r="Q80" s="560">
        <f>AVERAGE(Tabuľka157[[#This Row],[2013]:[2022]])</f>
        <v>-175.2</v>
      </c>
      <c r="R80" s="25"/>
      <c r="S80" s="25"/>
      <c r="T80" s="25"/>
      <c r="U80" s="25"/>
      <c r="V80" s="25"/>
      <c r="W80" s="25"/>
      <c r="X80" s="25"/>
      <c r="Y80" s="25"/>
      <c r="Z80" s="25"/>
      <c r="AA80" s="25"/>
      <c r="AB80" s="25"/>
    </row>
    <row r="81" spans="2:28">
      <c r="B81" s="539" t="s">
        <v>763</v>
      </c>
      <c r="C81" s="539" t="s">
        <v>41</v>
      </c>
      <c r="D81" s="539" t="s">
        <v>20</v>
      </c>
      <c r="E81" s="540" t="s">
        <v>810</v>
      </c>
      <c r="F81" s="541"/>
      <c r="G81" s="541">
        <f t="shared" ref="G81:P81" si="39">G13-F13</f>
        <v>-80</v>
      </c>
      <c r="H81" s="541">
        <f t="shared" si="39"/>
        <v>72</v>
      </c>
      <c r="I81" s="541">
        <f t="shared" si="39"/>
        <v>99</v>
      </c>
      <c r="J81" s="541">
        <f t="shared" si="39"/>
        <v>-11</v>
      </c>
      <c r="K81" s="541">
        <f t="shared" si="39"/>
        <v>2</v>
      </c>
      <c r="L81" s="541">
        <f t="shared" si="39"/>
        <v>87</v>
      </c>
      <c r="M81" s="541">
        <f t="shared" si="39"/>
        <v>-46</v>
      </c>
      <c r="N81" s="541">
        <f t="shared" si="39"/>
        <v>-64</v>
      </c>
      <c r="O81" s="541">
        <f t="shared" si="39"/>
        <v>389</v>
      </c>
      <c r="P81" s="541">
        <f t="shared" si="39"/>
        <v>-117</v>
      </c>
      <c r="Q81" s="560">
        <f>AVERAGE(Tabuľka157[[#This Row],[2013]:[2022]])</f>
        <v>33.1</v>
      </c>
      <c r="R81" s="25"/>
      <c r="S81" s="25"/>
      <c r="T81" s="25"/>
      <c r="U81" s="25"/>
      <c r="V81" s="25"/>
      <c r="W81" s="25"/>
      <c r="X81" s="27"/>
      <c r="Y81" s="27"/>
      <c r="Z81" s="25"/>
      <c r="AA81" s="27"/>
      <c r="AB81" s="25"/>
    </row>
    <row r="82" spans="2:28">
      <c r="B82" s="539" t="s">
        <v>764</v>
      </c>
      <c r="C82" s="539" t="s">
        <v>41</v>
      </c>
      <c r="D82" s="539" t="s">
        <v>20</v>
      </c>
      <c r="E82" s="540" t="s">
        <v>810</v>
      </c>
      <c r="F82" s="541"/>
      <c r="G82" s="541">
        <f t="shared" ref="G82:P82" si="40">G14-F14</f>
        <v>42</v>
      </c>
      <c r="H82" s="541">
        <f t="shared" si="40"/>
        <v>-86</v>
      </c>
      <c r="I82" s="541">
        <f t="shared" si="40"/>
        <v>44</v>
      </c>
      <c r="J82" s="541">
        <f t="shared" si="40"/>
        <v>33</v>
      </c>
      <c r="K82" s="541">
        <f t="shared" si="40"/>
        <v>-25</v>
      </c>
      <c r="L82" s="541">
        <f t="shared" si="40"/>
        <v>-16</v>
      </c>
      <c r="M82" s="541">
        <f t="shared" si="40"/>
        <v>-23</v>
      </c>
      <c r="N82" s="541">
        <f t="shared" si="40"/>
        <v>70</v>
      </c>
      <c r="O82" s="541">
        <f t="shared" si="40"/>
        <v>38</v>
      </c>
      <c r="P82" s="541">
        <f t="shared" si="40"/>
        <v>179</v>
      </c>
      <c r="Q82" s="560">
        <f>AVERAGE(Tabuľka157[[#This Row],[2013]:[2022]])</f>
        <v>25.6</v>
      </c>
      <c r="R82" s="25"/>
      <c r="S82" s="25"/>
      <c r="T82" s="25"/>
      <c r="U82" s="25"/>
      <c r="V82" s="25"/>
      <c r="W82" s="25"/>
      <c r="X82" s="27"/>
      <c r="Y82" s="27"/>
      <c r="Z82" s="25"/>
      <c r="AA82" s="27"/>
      <c r="AB82" s="25"/>
    </row>
    <row r="83" spans="2:28">
      <c r="B83" s="539" t="s">
        <v>765</v>
      </c>
      <c r="C83" s="539" t="s">
        <v>41</v>
      </c>
      <c r="D83" s="539" t="s">
        <v>23</v>
      </c>
      <c r="E83" s="540" t="s">
        <v>811</v>
      </c>
      <c r="F83" s="541"/>
      <c r="G83" s="541">
        <f t="shared" ref="G83:P83" si="41">G15-F15</f>
        <v>-49</v>
      </c>
      <c r="H83" s="541">
        <f t="shared" si="41"/>
        <v>-97</v>
      </c>
      <c r="I83" s="541">
        <f t="shared" si="41"/>
        <v>-133</v>
      </c>
      <c r="J83" s="541">
        <f t="shared" si="41"/>
        <v>-125</v>
      </c>
      <c r="K83" s="541">
        <f t="shared" si="41"/>
        <v>-141</v>
      </c>
      <c r="L83" s="541">
        <f t="shared" si="41"/>
        <v>-120</v>
      </c>
      <c r="M83" s="541">
        <f t="shared" si="41"/>
        <v>-109</v>
      </c>
      <c r="N83" s="541">
        <f t="shared" si="41"/>
        <v>-227</v>
      </c>
      <c r="O83" s="541">
        <f t="shared" si="41"/>
        <v>-656</v>
      </c>
      <c r="P83" s="541">
        <f t="shared" si="41"/>
        <v>-227</v>
      </c>
      <c r="Q83" s="560">
        <f>AVERAGE(Tabuľka157[[#This Row],[2013]:[2022]])</f>
        <v>-188.4</v>
      </c>
      <c r="R83" s="25"/>
      <c r="S83" s="25"/>
      <c r="T83" s="25"/>
      <c r="U83" s="25"/>
      <c r="V83" s="25"/>
      <c r="W83" s="25"/>
      <c r="X83" s="27"/>
      <c r="Y83" s="27"/>
      <c r="Z83" s="25"/>
      <c r="AA83" s="27"/>
      <c r="AB83" s="25"/>
    </row>
    <row r="84" spans="2:28">
      <c r="B84" s="539" t="s">
        <v>766</v>
      </c>
      <c r="C84" s="539" t="s">
        <v>41</v>
      </c>
      <c r="D84" s="539" t="s">
        <v>20</v>
      </c>
      <c r="E84" s="540" t="s">
        <v>21</v>
      </c>
      <c r="F84" s="541"/>
      <c r="G84" s="541">
        <f t="shared" ref="G84:P84" si="42">G16-F16</f>
        <v>-129</v>
      </c>
      <c r="H84" s="541">
        <f t="shared" si="42"/>
        <v>-177</v>
      </c>
      <c r="I84" s="541">
        <f t="shared" si="42"/>
        <v>-185</v>
      </c>
      <c r="J84" s="541">
        <f t="shared" si="42"/>
        <v>-146</v>
      </c>
      <c r="K84" s="541">
        <f t="shared" si="42"/>
        <v>-218</v>
      </c>
      <c r="L84" s="541">
        <f t="shared" si="42"/>
        <v>-207</v>
      </c>
      <c r="M84" s="541">
        <f t="shared" si="42"/>
        <v>-207</v>
      </c>
      <c r="N84" s="541">
        <f t="shared" si="42"/>
        <v>-234</v>
      </c>
      <c r="O84" s="541">
        <f t="shared" si="42"/>
        <v>-793</v>
      </c>
      <c r="P84" s="541">
        <f t="shared" si="42"/>
        <v>-282</v>
      </c>
      <c r="Q84" s="560">
        <f>AVERAGE(Tabuľka157[[#This Row],[2013]:[2022]])</f>
        <v>-257.8</v>
      </c>
      <c r="R84" s="25"/>
      <c r="S84" s="25"/>
      <c r="T84" s="25"/>
      <c r="U84" s="25"/>
      <c r="V84" s="25"/>
      <c r="W84" s="25"/>
      <c r="X84" s="27"/>
      <c r="Y84" s="27"/>
      <c r="Z84" s="25"/>
      <c r="AA84" s="27"/>
      <c r="AB84" s="25"/>
    </row>
    <row r="85" spans="2:28">
      <c r="B85" s="539" t="s">
        <v>767</v>
      </c>
      <c r="C85" s="539" t="s">
        <v>41</v>
      </c>
      <c r="D85" s="539" t="s">
        <v>30</v>
      </c>
      <c r="E85" s="540" t="s">
        <v>812</v>
      </c>
      <c r="F85" s="541"/>
      <c r="G85" s="541">
        <f t="shared" ref="G85:P85" si="43">G17-F17</f>
        <v>-97</v>
      </c>
      <c r="H85" s="541">
        <f t="shared" si="43"/>
        <v>-42</v>
      </c>
      <c r="I85" s="541">
        <f t="shared" si="43"/>
        <v>-42</v>
      </c>
      <c r="J85" s="541">
        <f t="shared" si="43"/>
        <v>-44</v>
      </c>
      <c r="K85" s="541">
        <f t="shared" si="43"/>
        <v>-33</v>
      </c>
      <c r="L85" s="541">
        <f t="shared" si="43"/>
        <v>-51</v>
      </c>
      <c r="M85" s="541">
        <f t="shared" si="43"/>
        <v>-69</v>
      </c>
      <c r="N85" s="541">
        <f t="shared" si="43"/>
        <v>-50</v>
      </c>
      <c r="O85" s="541">
        <f t="shared" si="43"/>
        <v>-270</v>
      </c>
      <c r="P85" s="541">
        <f t="shared" si="43"/>
        <v>-27</v>
      </c>
      <c r="Q85" s="560">
        <f>AVERAGE(Tabuľka157[[#This Row],[2013]:[2022]])</f>
        <v>-72.5</v>
      </c>
      <c r="R85" s="25"/>
      <c r="S85" s="25"/>
      <c r="T85" s="25"/>
      <c r="U85" s="25"/>
      <c r="V85" s="25"/>
      <c r="W85" s="25"/>
      <c r="X85" s="25"/>
      <c r="Y85" s="25"/>
      <c r="Z85" s="25"/>
      <c r="AA85" s="25"/>
      <c r="AB85" s="25"/>
    </row>
    <row r="86" spans="2:28">
      <c r="B86" s="539" t="s">
        <v>768</v>
      </c>
      <c r="C86" s="539" t="s">
        <v>41</v>
      </c>
      <c r="D86" s="539" t="s">
        <v>34</v>
      </c>
      <c r="E86" s="540" t="s">
        <v>813</v>
      </c>
      <c r="F86" s="541"/>
      <c r="G86" s="541">
        <f t="shared" ref="G86:P86" si="44">G18-F18</f>
        <v>-179</v>
      </c>
      <c r="H86" s="541">
        <f t="shared" si="44"/>
        <v>-269</v>
      </c>
      <c r="I86" s="541">
        <f t="shared" si="44"/>
        <v>-241</v>
      </c>
      <c r="J86" s="541">
        <f t="shared" si="44"/>
        <v>-285</v>
      </c>
      <c r="K86" s="541">
        <f t="shared" si="44"/>
        <v>-219</v>
      </c>
      <c r="L86" s="541">
        <f t="shared" si="44"/>
        <v>-250</v>
      </c>
      <c r="M86" s="541">
        <f t="shared" si="44"/>
        <v>-357</v>
      </c>
      <c r="N86" s="541">
        <f t="shared" si="44"/>
        <v>-343</v>
      </c>
      <c r="O86" s="541">
        <f t="shared" si="44"/>
        <v>-1566</v>
      </c>
      <c r="P86" s="541">
        <f t="shared" si="44"/>
        <v>-475</v>
      </c>
      <c r="Q86" s="560">
        <f>AVERAGE(Tabuľka157[[#This Row],[2013]:[2022]])</f>
        <v>-418.4</v>
      </c>
      <c r="R86" s="25"/>
      <c r="S86" s="25"/>
      <c r="T86" s="25"/>
      <c r="U86" s="25"/>
      <c r="V86" s="25"/>
      <c r="W86" s="25"/>
      <c r="X86" s="27"/>
      <c r="Y86" s="27"/>
      <c r="Z86" s="25"/>
      <c r="AA86" s="27"/>
      <c r="AB86" s="25"/>
    </row>
    <row r="87" spans="2:28">
      <c r="B87" s="539" t="s">
        <v>769</v>
      </c>
      <c r="C87" s="539" t="s">
        <v>41</v>
      </c>
      <c r="D87" s="539" t="s">
        <v>34</v>
      </c>
      <c r="E87" s="540" t="s">
        <v>35</v>
      </c>
      <c r="F87" s="541"/>
      <c r="G87" s="541">
        <f t="shared" ref="G87:P87" si="45">G19-F19</f>
        <v>-81</v>
      </c>
      <c r="H87" s="541">
        <f t="shared" si="45"/>
        <v>-57</v>
      </c>
      <c r="I87" s="541">
        <f t="shared" si="45"/>
        <v>-78</v>
      </c>
      <c r="J87" s="541">
        <f t="shared" si="45"/>
        <v>4</v>
      </c>
      <c r="K87" s="541">
        <f t="shared" si="45"/>
        <v>-81</v>
      </c>
      <c r="L87" s="541">
        <f t="shared" si="45"/>
        <v>-100</v>
      </c>
      <c r="M87" s="541">
        <f t="shared" si="45"/>
        <v>-35</v>
      </c>
      <c r="N87" s="541">
        <f t="shared" si="45"/>
        <v>-78</v>
      </c>
      <c r="O87" s="541">
        <f t="shared" si="45"/>
        <v>-889</v>
      </c>
      <c r="P87" s="541">
        <f t="shared" si="45"/>
        <v>-75</v>
      </c>
      <c r="Q87" s="560">
        <f>AVERAGE(Tabuľka157[[#This Row],[2013]:[2022]])</f>
        <v>-147</v>
      </c>
      <c r="R87" s="25"/>
      <c r="S87" s="25"/>
      <c r="T87" s="25"/>
      <c r="U87" s="25"/>
      <c r="V87" s="25"/>
      <c r="W87" s="25"/>
      <c r="X87" s="25"/>
      <c r="Y87" s="25"/>
      <c r="Z87" s="25"/>
      <c r="AA87" s="25"/>
      <c r="AB87" s="25"/>
    </row>
    <row r="88" spans="2:28">
      <c r="B88" s="539" t="s">
        <v>770</v>
      </c>
      <c r="C88" s="539" t="s">
        <v>41</v>
      </c>
      <c r="D88" s="539" t="s">
        <v>28</v>
      </c>
      <c r="E88" s="540" t="s">
        <v>814</v>
      </c>
      <c r="F88" s="541"/>
      <c r="G88" s="541">
        <f t="shared" ref="G88:P88" si="46">G20-F20</f>
        <v>-77</v>
      </c>
      <c r="H88" s="541">
        <f t="shared" si="46"/>
        <v>-100</v>
      </c>
      <c r="I88" s="541">
        <f t="shared" si="46"/>
        <v>-128</v>
      </c>
      <c r="J88" s="541">
        <f t="shared" si="46"/>
        <v>-143</v>
      </c>
      <c r="K88" s="541">
        <f t="shared" si="46"/>
        <v>-30</v>
      </c>
      <c r="L88" s="541">
        <f t="shared" si="46"/>
        <v>-233</v>
      </c>
      <c r="M88" s="541">
        <f t="shared" si="46"/>
        <v>-176</v>
      </c>
      <c r="N88" s="541">
        <f t="shared" si="46"/>
        <v>-212</v>
      </c>
      <c r="O88" s="541">
        <f t="shared" si="46"/>
        <v>-896</v>
      </c>
      <c r="P88" s="541">
        <f t="shared" si="46"/>
        <v>-356</v>
      </c>
      <c r="Q88" s="560">
        <f>AVERAGE(Tabuľka157[[#This Row],[2013]:[2022]])</f>
        <v>-235.1</v>
      </c>
      <c r="R88" s="25"/>
      <c r="S88" s="25"/>
      <c r="T88" s="25"/>
      <c r="U88" s="25"/>
      <c r="V88" s="25"/>
      <c r="W88" s="25"/>
      <c r="X88" s="25"/>
      <c r="Y88" s="25"/>
      <c r="Z88" s="25"/>
      <c r="AA88" s="25"/>
      <c r="AB88" s="25"/>
    </row>
    <row r="89" spans="2:28">
      <c r="B89" s="539" t="s">
        <v>44</v>
      </c>
      <c r="C89" s="539" t="s">
        <v>41</v>
      </c>
      <c r="D89" s="539" t="s">
        <v>38</v>
      </c>
      <c r="E89" s="540" t="s">
        <v>815</v>
      </c>
      <c r="F89" s="541"/>
      <c r="G89" s="541">
        <f t="shared" ref="G89:P89" si="47">G21-F21</f>
        <v>-367</v>
      </c>
      <c r="H89" s="541">
        <f t="shared" si="47"/>
        <v>-333</v>
      </c>
      <c r="I89" s="541">
        <f t="shared" si="47"/>
        <v>-264</v>
      </c>
      <c r="J89" s="541">
        <f t="shared" si="47"/>
        <v>-59</v>
      </c>
      <c r="K89" s="541">
        <f t="shared" si="47"/>
        <v>-46</v>
      </c>
      <c r="L89" s="541">
        <f t="shared" si="47"/>
        <v>-338</v>
      </c>
      <c r="M89" s="541">
        <f t="shared" si="47"/>
        <v>-164</v>
      </c>
      <c r="N89" s="541">
        <f t="shared" si="47"/>
        <v>-455</v>
      </c>
      <c r="O89" s="541">
        <f t="shared" si="47"/>
        <v>-10680</v>
      </c>
      <c r="P89" s="541">
        <f t="shared" si="47"/>
        <v>-1246</v>
      </c>
      <c r="Q89" s="560">
        <f>AVERAGE(Tabuľka157[[#This Row],[2013]:[2022]])</f>
        <v>-1395.2</v>
      </c>
      <c r="R89" s="25"/>
      <c r="S89" s="25"/>
      <c r="T89" s="25"/>
      <c r="U89" s="25"/>
      <c r="V89" s="25"/>
      <c r="W89" s="25"/>
      <c r="X89" s="25"/>
      <c r="Y89" s="25"/>
      <c r="Z89" s="25"/>
      <c r="AA89" s="25"/>
      <c r="AB89" s="25"/>
    </row>
    <row r="90" spans="2:28">
      <c r="B90" s="539" t="s">
        <v>771</v>
      </c>
      <c r="C90" s="539" t="s">
        <v>41</v>
      </c>
      <c r="D90" s="539" t="s">
        <v>26</v>
      </c>
      <c r="E90" s="540" t="s">
        <v>808</v>
      </c>
      <c r="F90" s="541"/>
      <c r="G90" s="541">
        <f t="shared" ref="G90:P90" si="48">G22-F22</f>
        <v>-33</v>
      </c>
      <c r="H90" s="541">
        <f t="shared" si="48"/>
        <v>-120</v>
      </c>
      <c r="I90" s="541">
        <f t="shared" si="48"/>
        <v>-107</v>
      </c>
      <c r="J90" s="541">
        <f t="shared" si="48"/>
        <v>-95</v>
      </c>
      <c r="K90" s="541">
        <f t="shared" si="48"/>
        <v>-97</v>
      </c>
      <c r="L90" s="541">
        <f t="shared" si="48"/>
        <v>-59</v>
      </c>
      <c r="M90" s="541">
        <f t="shared" si="48"/>
        <v>-120</v>
      </c>
      <c r="N90" s="541">
        <f t="shared" si="48"/>
        <v>-117</v>
      </c>
      <c r="O90" s="541">
        <f t="shared" si="48"/>
        <v>-327</v>
      </c>
      <c r="P90" s="541">
        <f t="shared" si="48"/>
        <v>-188</v>
      </c>
      <c r="Q90" s="560">
        <f>AVERAGE(Tabuľka157[[#This Row],[2013]:[2022]])</f>
        <v>-126.3</v>
      </c>
      <c r="R90" s="25"/>
      <c r="S90" s="25"/>
      <c r="T90" s="25"/>
      <c r="U90" s="25"/>
      <c r="V90" s="25"/>
      <c r="W90" s="25"/>
      <c r="X90" s="27"/>
      <c r="Y90" s="27"/>
      <c r="Z90" s="25"/>
      <c r="AA90" s="27"/>
      <c r="AB90" s="25"/>
    </row>
    <row r="91" spans="2:28">
      <c r="B91" s="539" t="s">
        <v>772</v>
      </c>
      <c r="C91" s="539" t="s">
        <v>41</v>
      </c>
      <c r="D91" s="539" t="s">
        <v>28</v>
      </c>
      <c r="E91" s="540" t="s">
        <v>814</v>
      </c>
      <c r="F91" s="541"/>
      <c r="G91" s="541">
        <f t="shared" ref="G91:P91" si="49">G23-F23</f>
        <v>-274</v>
      </c>
      <c r="H91" s="541">
        <f t="shared" si="49"/>
        <v>-249</v>
      </c>
      <c r="I91" s="541">
        <f t="shared" si="49"/>
        <v>-204</v>
      </c>
      <c r="J91" s="541">
        <f t="shared" si="49"/>
        <v>-225</v>
      </c>
      <c r="K91" s="541">
        <f t="shared" si="49"/>
        <v>-216</v>
      </c>
      <c r="L91" s="541">
        <f t="shared" si="49"/>
        <v>-250</v>
      </c>
      <c r="M91" s="541">
        <f t="shared" si="49"/>
        <v>-347</v>
      </c>
      <c r="N91" s="541">
        <f t="shared" si="49"/>
        <v>-265</v>
      </c>
      <c r="O91" s="541">
        <f t="shared" si="49"/>
        <v>-1030</v>
      </c>
      <c r="P91" s="541">
        <f t="shared" si="49"/>
        <v>-359</v>
      </c>
      <c r="Q91" s="560">
        <f>AVERAGE(Tabuľka157[[#This Row],[2013]:[2022]])</f>
        <v>-341.9</v>
      </c>
      <c r="R91" s="25"/>
      <c r="S91" s="25"/>
      <c r="T91" s="25"/>
      <c r="U91" s="25"/>
      <c r="V91" s="25"/>
      <c r="W91" s="25"/>
      <c r="X91" s="27"/>
      <c r="Y91" s="27"/>
      <c r="Z91" s="25"/>
      <c r="AA91" s="27"/>
      <c r="AB91" s="25"/>
    </row>
    <row r="92" spans="2:28">
      <c r="B92" s="539" t="s">
        <v>773</v>
      </c>
      <c r="C92" s="539" t="s">
        <v>41</v>
      </c>
      <c r="D92" s="539" t="s">
        <v>34</v>
      </c>
      <c r="E92" s="540" t="s">
        <v>35</v>
      </c>
      <c r="F92" s="541"/>
      <c r="G92" s="541">
        <f t="shared" ref="G92:P92" si="50">G24-F24</f>
        <v>28</v>
      </c>
      <c r="H92" s="541">
        <f t="shared" si="50"/>
        <v>-44</v>
      </c>
      <c r="I92" s="541">
        <f t="shared" si="50"/>
        <v>28</v>
      </c>
      <c r="J92" s="541">
        <f t="shared" si="50"/>
        <v>-11</v>
      </c>
      <c r="K92" s="541">
        <f t="shared" si="50"/>
        <v>3</v>
      </c>
      <c r="L92" s="541">
        <f t="shared" si="50"/>
        <v>-46</v>
      </c>
      <c r="M92" s="541">
        <f t="shared" si="50"/>
        <v>-35</v>
      </c>
      <c r="N92" s="541">
        <f t="shared" si="50"/>
        <v>-96</v>
      </c>
      <c r="O92" s="541">
        <f t="shared" si="50"/>
        <v>-475</v>
      </c>
      <c r="P92" s="541">
        <f t="shared" si="50"/>
        <v>-136</v>
      </c>
      <c r="Q92" s="560">
        <f>AVERAGE(Tabuľka157[[#This Row],[2013]:[2022]])</f>
        <v>-78.400000000000006</v>
      </c>
      <c r="R92" s="25"/>
      <c r="S92" s="25"/>
      <c r="T92" s="25"/>
      <c r="U92" s="25"/>
      <c r="V92" s="25"/>
      <c r="W92" s="25"/>
      <c r="X92" s="27"/>
      <c r="Y92" s="27"/>
      <c r="Z92" s="25"/>
      <c r="AA92" s="27"/>
      <c r="AB92" s="25"/>
    </row>
    <row r="93" spans="2:28">
      <c r="B93" s="539" t="s">
        <v>774</v>
      </c>
      <c r="C93" s="539" t="s">
        <v>41</v>
      </c>
      <c r="D93" s="539" t="s">
        <v>26</v>
      </c>
      <c r="E93" s="540" t="s">
        <v>809</v>
      </c>
      <c r="F93" s="541"/>
      <c r="G93" s="541">
        <f t="shared" ref="G93:P93" si="51">G25-F25</f>
        <v>-101</v>
      </c>
      <c r="H93" s="541">
        <f t="shared" si="51"/>
        <v>-179</v>
      </c>
      <c r="I93" s="541">
        <f t="shared" si="51"/>
        <v>-59</v>
      </c>
      <c r="J93" s="541">
        <f t="shared" si="51"/>
        <v>-73</v>
      </c>
      <c r="K93" s="541">
        <f t="shared" si="51"/>
        <v>-116</v>
      </c>
      <c r="L93" s="541">
        <f t="shared" si="51"/>
        <v>-151</v>
      </c>
      <c r="M93" s="541">
        <f t="shared" si="51"/>
        <v>-194</v>
      </c>
      <c r="N93" s="541">
        <f t="shared" si="51"/>
        <v>-192</v>
      </c>
      <c r="O93" s="541">
        <f t="shared" si="51"/>
        <v>-453</v>
      </c>
      <c r="P93" s="541">
        <f t="shared" si="51"/>
        <v>-193</v>
      </c>
      <c r="Q93" s="560">
        <f>AVERAGE(Tabuľka157[[#This Row],[2013]:[2022]])</f>
        <v>-171.1</v>
      </c>
      <c r="R93" s="25"/>
      <c r="S93" s="25"/>
      <c r="T93" s="25"/>
      <c r="U93" s="25"/>
      <c r="V93" s="25"/>
      <c r="W93" s="25"/>
      <c r="X93" s="27"/>
      <c r="Y93" s="27"/>
      <c r="Z93" s="25"/>
      <c r="AA93" s="27"/>
      <c r="AB93" s="25"/>
    </row>
    <row r="94" spans="2:28">
      <c r="B94" s="539" t="s">
        <v>57</v>
      </c>
      <c r="C94" s="539" t="s">
        <v>41</v>
      </c>
      <c r="D94" s="539" t="s">
        <v>30</v>
      </c>
      <c r="E94" s="540" t="s">
        <v>31</v>
      </c>
      <c r="F94" s="541"/>
      <c r="G94" s="541">
        <f t="shared" ref="G94:P94" si="52">G26-F26</f>
        <v>-78</v>
      </c>
      <c r="H94" s="541">
        <f t="shared" si="52"/>
        <v>-131</v>
      </c>
      <c r="I94" s="541">
        <f t="shared" si="52"/>
        <v>-105</v>
      </c>
      <c r="J94" s="541">
        <f t="shared" si="52"/>
        <v>21</v>
      </c>
      <c r="K94" s="541">
        <f t="shared" si="52"/>
        <v>-129</v>
      </c>
      <c r="L94" s="541">
        <f t="shared" si="52"/>
        <v>-186</v>
      </c>
      <c r="M94" s="541">
        <f t="shared" si="52"/>
        <v>-66</v>
      </c>
      <c r="N94" s="541">
        <f t="shared" si="52"/>
        <v>-204</v>
      </c>
      <c r="O94" s="541">
        <f t="shared" si="52"/>
        <v>-1921</v>
      </c>
      <c r="P94" s="541">
        <f t="shared" si="52"/>
        <v>-250</v>
      </c>
      <c r="Q94" s="560">
        <f>AVERAGE(Tabuľka157[[#This Row],[2013]:[2022]])</f>
        <v>-304.89999999999998</v>
      </c>
      <c r="R94" s="25"/>
      <c r="S94" s="25"/>
      <c r="T94" s="25"/>
      <c r="U94" s="25"/>
      <c r="V94" s="25"/>
      <c r="W94" s="25"/>
      <c r="X94" s="27"/>
      <c r="Y94" s="27"/>
      <c r="Z94" s="25"/>
      <c r="AA94" s="27"/>
      <c r="AB94" s="25"/>
    </row>
    <row r="95" spans="2:28">
      <c r="B95" s="539" t="s">
        <v>775</v>
      </c>
      <c r="C95" s="539" t="s">
        <v>41</v>
      </c>
      <c r="D95" s="539" t="s">
        <v>18</v>
      </c>
      <c r="E95" s="540" t="s">
        <v>816</v>
      </c>
      <c r="F95" s="541"/>
      <c r="G95" s="541">
        <f t="shared" ref="G95:P95" si="53">G27-F27</f>
        <v>26</v>
      </c>
      <c r="H95" s="541">
        <f t="shared" si="53"/>
        <v>48</v>
      </c>
      <c r="I95" s="541">
        <f t="shared" si="53"/>
        <v>118</v>
      </c>
      <c r="J95" s="541">
        <f t="shared" si="53"/>
        <v>104</v>
      </c>
      <c r="K95" s="541">
        <f t="shared" si="53"/>
        <v>73</v>
      </c>
      <c r="L95" s="541">
        <f t="shared" si="53"/>
        <v>8</v>
      </c>
      <c r="M95" s="541">
        <f t="shared" si="53"/>
        <v>29</v>
      </c>
      <c r="N95" s="541">
        <f t="shared" si="53"/>
        <v>-91</v>
      </c>
      <c r="O95" s="541">
        <f t="shared" si="53"/>
        <v>1541</v>
      </c>
      <c r="P95" s="541">
        <f t="shared" si="53"/>
        <v>-112</v>
      </c>
      <c r="Q95" s="560">
        <f>AVERAGE(Tabuľka157[[#This Row],[2013]:[2022]])</f>
        <v>174.4</v>
      </c>
      <c r="R95" s="25"/>
      <c r="S95" s="25"/>
      <c r="T95" s="25"/>
      <c r="U95" s="25"/>
      <c r="V95" s="25"/>
      <c r="W95" s="25"/>
      <c r="X95" s="27"/>
      <c r="Y95" s="27"/>
      <c r="Z95" s="25"/>
      <c r="AA95" s="27"/>
      <c r="AB95" s="25"/>
    </row>
    <row r="96" spans="2:28">
      <c r="B96" s="539" t="s">
        <v>776</v>
      </c>
      <c r="C96" s="539" t="s">
        <v>41</v>
      </c>
      <c r="D96" s="539" t="s">
        <v>34</v>
      </c>
      <c r="E96" s="549" t="s">
        <v>817</v>
      </c>
      <c r="F96" s="541"/>
      <c r="G96" s="541">
        <f t="shared" ref="G96:P96" si="54">G28-F28</f>
        <v>30</v>
      </c>
      <c r="H96" s="541">
        <f t="shared" si="54"/>
        <v>30</v>
      </c>
      <c r="I96" s="541">
        <f t="shared" si="54"/>
        <v>36</v>
      </c>
      <c r="J96" s="541">
        <f t="shared" si="54"/>
        <v>27</v>
      </c>
      <c r="K96" s="541">
        <f t="shared" si="54"/>
        <v>27</v>
      </c>
      <c r="L96" s="541">
        <f t="shared" si="54"/>
        <v>42</v>
      </c>
      <c r="M96" s="541">
        <f t="shared" si="54"/>
        <v>29</v>
      </c>
      <c r="N96" s="541">
        <f t="shared" si="54"/>
        <v>10</v>
      </c>
      <c r="O96" s="541">
        <f t="shared" si="54"/>
        <v>53</v>
      </c>
      <c r="P96" s="541">
        <f t="shared" si="54"/>
        <v>38</v>
      </c>
      <c r="Q96" s="560">
        <f>AVERAGE(Tabuľka157[[#This Row],[2013]:[2022]])</f>
        <v>32.200000000000003</v>
      </c>
      <c r="R96" s="25"/>
      <c r="S96" s="25"/>
      <c r="T96" s="25"/>
      <c r="U96" s="25"/>
      <c r="V96" s="25"/>
      <c r="W96" s="25"/>
      <c r="X96" s="27"/>
      <c r="Y96" s="27"/>
      <c r="Z96" s="25"/>
      <c r="AA96" s="27"/>
      <c r="AB96" s="25"/>
    </row>
    <row r="97" spans="2:28">
      <c r="B97" s="539" t="s">
        <v>55</v>
      </c>
      <c r="C97" s="539" t="s">
        <v>41</v>
      </c>
      <c r="D97" s="539" t="s">
        <v>26</v>
      </c>
      <c r="E97" s="549" t="s">
        <v>56</v>
      </c>
      <c r="F97" s="541"/>
      <c r="G97" s="541">
        <f t="shared" ref="G97:P97" si="55">G29-F29</f>
        <v>-497</v>
      </c>
      <c r="H97" s="541">
        <f t="shared" si="55"/>
        <v>-473</v>
      </c>
      <c r="I97" s="541">
        <f t="shared" si="55"/>
        <v>-366</v>
      </c>
      <c r="J97" s="541">
        <f t="shared" si="55"/>
        <v>-355</v>
      </c>
      <c r="K97" s="541">
        <f t="shared" si="55"/>
        <v>-354</v>
      </c>
      <c r="L97" s="541">
        <f t="shared" si="55"/>
        <v>-360</v>
      </c>
      <c r="M97" s="541">
        <f t="shared" si="55"/>
        <v>-450</v>
      </c>
      <c r="N97" s="541">
        <f t="shared" si="55"/>
        <v>-405</v>
      </c>
      <c r="O97" s="541">
        <f t="shared" si="55"/>
        <v>-1994</v>
      </c>
      <c r="P97" s="541">
        <f t="shared" si="55"/>
        <v>-630</v>
      </c>
      <c r="Q97" s="560">
        <f>AVERAGE(Tabuľka157[[#This Row],[2013]:[2022]])</f>
        <v>-588.4</v>
      </c>
      <c r="R97" s="25"/>
      <c r="S97" s="25"/>
      <c r="T97" s="25"/>
      <c r="U97" s="25"/>
      <c r="V97" s="25"/>
      <c r="W97" s="25"/>
      <c r="X97" s="27"/>
      <c r="Y97" s="27"/>
      <c r="Z97" s="25"/>
      <c r="AA97" s="27"/>
      <c r="AB97" s="25"/>
    </row>
    <row r="98" spans="2:28">
      <c r="B98" s="539" t="s">
        <v>777</v>
      </c>
      <c r="C98" s="539" t="s">
        <v>41</v>
      </c>
      <c r="D98" s="539" t="s">
        <v>38</v>
      </c>
      <c r="E98" s="540" t="s">
        <v>813</v>
      </c>
      <c r="F98" s="541"/>
      <c r="G98" s="541">
        <f t="shared" ref="G98:P98" si="56">G30-F30</f>
        <v>-114</v>
      </c>
      <c r="H98" s="541">
        <f t="shared" si="56"/>
        <v>-209</v>
      </c>
      <c r="I98" s="541">
        <f t="shared" si="56"/>
        <v>-55</v>
      </c>
      <c r="J98" s="541">
        <f t="shared" si="56"/>
        <v>-104</v>
      </c>
      <c r="K98" s="541">
        <f t="shared" si="56"/>
        <v>-200</v>
      </c>
      <c r="L98" s="541">
        <f t="shared" si="56"/>
        <v>-101</v>
      </c>
      <c r="M98" s="541">
        <f t="shared" si="56"/>
        <v>-274</v>
      </c>
      <c r="N98" s="541">
        <f t="shared" si="56"/>
        <v>-329</v>
      </c>
      <c r="O98" s="541">
        <f t="shared" si="56"/>
        <v>-2194</v>
      </c>
      <c r="P98" s="541">
        <f t="shared" si="56"/>
        <v>-379</v>
      </c>
      <c r="Q98" s="560">
        <f>AVERAGE(Tabuľka157[[#This Row],[2013]:[2022]])</f>
        <v>-395.9</v>
      </c>
      <c r="R98" s="25"/>
      <c r="S98" s="25"/>
      <c r="T98" s="25"/>
      <c r="U98" s="25"/>
      <c r="V98" s="25"/>
      <c r="W98" s="25"/>
      <c r="X98" s="27"/>
      <c r="Y98" s="27"/>
      <c r="Z98" s="25"/>
      <c r="AA98" s="27"/>
      <c r="AB98" s="25"/>
    </row>
    <row r="99" spans="2:28">
      <c r="B99" s="539" t="s">
        <v>45</v>
      </c>
      <c r="C99" s="539" t="s">
        <v>41</v>
      </c>
      <c r="D99" s="539" t="s">
        <v>28</v>
      </c>
      <c r="E99" s="540" t="s">
        <v>46</v>
      </c>
      <c r="F99" s="541"/>
      <c r="G99" s="541">
        <f t="shared" ref="G99:P99" si="57">G31-F31</f>
        <v>-256</v>
      </c>
      <c r="H99" s="541">
        <f t="shared" si="57"/>
        <v>-318</v>
      </c>
      <c r="I99" s="541">
        <f t="shared" si="57"/>
        <v>-363</v>
      </c>
      <c r="J99" s="541">
        <f t="shared" si="57"/>
        <v>-296</v>
      </c>
      <c r="K99" s="541">
        <f t="shared" si="57"/>
        <v>-326</v>
      </c>
      <c r="L99" s="541">
        <f t="shared" si="57"/>
        <v>-393</v>
      </c>
      <c r="M99" s="541">
        <f t="shared" si="57"/>
        <v>-122</v>
      </c>
      <c r="N99" s="541">
        <f t="shared" si="57"/>
        <v>-505</v>
      </c>
      <c r="O99" s="541">
        <f t="shared" si="57"/>
        <v>1582</v>
      </c>
      <c r="P99" s="541">
        <f t="shared" si="57"/>
        <v>-659</v>
      </c>
      <c r="Q99" s="560">
        <f>AVERAGE(Tabuľka157[[#This Row],[2013]:[2022]])</f>
        <v>-165.6</v>
      </c>
      <c r="R99" s="25"/>
      <c r="S99" s="25"/>
      <c r="T99" s="25"/>
      <c r="U99" s="25"/>
      <c r="V99" s="25"/>
      <c r="W99" s="25"/>
      <c r="X99" s="25"/>
      <c r="Y99" s="25"/>
      <c r="Z99" s="25"/>
      <c r="AA99" s="25"/>
      <c r="AB99" s="25"/>
    </row>
    <row r="100" spans="2:28">
      <c r="B100" s="539" t="s">
        <v>778</v>
      </c>
      <c r="C100" s="539" t="s">
        <v>41</v>
      </c>
      <c r="D100" s="539" t="s">
        <v>23</v>
      </c>
      <c r="E100" s="540" t="s">
        <v>818</v>
      </c>
      <c r="F100" s="541"/>
      <c r="G100" s="541">
        <f t="shared" ref="G100:P100" si="58">G32-F32</f>
        <v>-42</v>
      </c>
      <c r="H100" s="541">
        <f t="shared" si="58"/>
        <v>-89</v>
      </c>
      <c r="I100" s="541">
        <f t="shared" si="58"/>
        <v>-35</v>
      </c>
      <c r="J100" s="541">
        <f t="shared" si="58"/>
        <v>15</v>
      </c>
      <c r="K100" s="541">
        <f t="shared" si="58"/>
        <v>-33</v>
      </c>
      <c r="L100" s="541">
        <f t="shared" si="58"/>
        <v>-29</v>
      </c>
      <c r="M100" s="541">
        <f t="shared" si="58"/>
        <v>34</v>
      </c>
      <c r="N100" s="541">
        <f t="shared" si="58"/>
        <v>6</v>
      </c>
      <c r="O100" s="541">
        <f t="shared" si="58"/>
        <v>-588</v>
      </c>
      <c r="P100" s="541">
        <f t="shared" si="58"/>
        <v>-134</v>
      </c>
      <c r="Q100" s="560">
        <f>AVERAGE(Tabuľka157[[#This Row],[2013]:[2022]])</f>
        <v>-89.5</v>
      </c>
      <c r="R100" s="25"/>
      <c r="S100" s="25"/>
      <c r="T100" s="25"/>
      <c r="U100" s="25"/>
      <c r="V100" s="25"/>
      <c r="W100" s="25"/>
      <c r="X100" s="25"/>
      <c r="Y100" s="25"/>
      <c r="Z100" s="25"/>
      <c r="AA100" s="25"/>
      <c r="AB100" s="25"/>
    </row>
    <row r="101" spans="2:28">
      <c r="B101" s="539" t="s">
        <v>779</v>
      </c>
      <c r="C101" s="539" t="s">
        <v>41</v>
      </c>
      <c r="D101" s="539" t="s">
        <v>28</v>
      </c>
      <c r="E101" s="540" t="s">
        <v>814</v>
      </c>
      <c r="F101" s="541"/>
      <c r="G101" s="541">
        <f t="shared" ref="G101:P101" si="59">G33-F33</f>
        <v>-154</v>
      </c>
      <c r="H101" s="541">
        <f t="shared" si="59"/>
        <v>-278</v>
      </c>
      <c r="I101" s="541">
        <f t="shared" si="59"/>
        <v>-220</v>
      </c>
      <c r="J101" s="541">
        <f t="shared" si="59"/>
        <v>-235</v>
      </c>
      <c r="K101" s="541">
        <f t="shared" si="59"/>
        <v>-314</v>
      </c>
      <c r="L101" s="541">
        <f t="shared" si="59"/>
        <v>-273</v>
      </c>
      <c r="M101" s="541">
        <f t="shared" si="59"/>
        <v>-387</v>
      </c>
      <c r="N101" s="541">
        <f t="shared" si="59"/>
        <v>-319</v>
      </c>
      <c r="O101" s="541">
        <f t="shared" si="59"/>
        <v>77</v>
      </c>
      <c r="P101" s="541">
        <f t="shared" si="59"/>
        <v>-489</v>
      </c>
      <c r="Q101" s="560">
        <f>AVERAGE(Tabuľka157[[#This Row],[2013]:[2022]])</f>
        <v>-259.2</v>
      </c>
      <c r="R101" s="25"/>
      <c r="S101" s="25"/>
      <c r="T101" s="25"/>
      <c r="U101" s="25"/>
      <c r="V101" s="25"/>
      <c r="W101" s="25"/>
      <c r="X101" s="25"/>
      <c r="Y101" s="25"/>
      <c r="Z101" s="25"/>
      <c r="AA101" s="25"/>
      <c r="AB101" s="25"/>
    </row>
    <row r="102" spans="2:28">
      <c r="B102" s="539" t="s">
        <v>780</v>
      </c>
      <c r="C102" s="539" t="s">
        <v>41</v>
      </c>
      <c r="D102" s="539" t="s">
        <v>23</v>
      </c>
      <c r="E102" s="540" t="s">
        <v>24</v>
      </c>
      <c r="F102" s="541"/>
      <c r="G102" s="541">
        <f t="shared" ref="G102:P102" si="60">G34-F34</f>
        <v>-151</v>
      </c>
      <c r="H102" s="541">
        <f t="shared" si="60"/>
        <v>-273</v>
      </c>
      <c r="I102" s="541">
        <f t="shared" si="60"/>
        <v>-189</v>
      </c>
      <c r="J102" s="541">
        <f t="shared" si="60"/>
        <v>-248</v>
      </c>
      <c r="K102" s="541">
        <f t="shared" si="60"/>
        <v>-346</v>
      </c>
      <c r="L102" s="541">
        <f t="shared" si="60"/>
        <v>-198</v>
      </c>
      <c r="M102" s="541">
        <f t="shared" si="60"/>
        <v>-186</v>
      </c>
      <c r="N102" s="541">
        <f t="shared" si="60"/>
        <v>-211</v>
      </c>
      <c r="O102" s="541">
        <f t="shared" si="60"/>
        <v>-882</v>
      </c>
      <c r="P102" s="541">
        <f t="shared" si="60"/>
        <v>-305</v>
      </c>
      <c r="Q102" s="560">
        <f>AVERAGE(Tabuľka157[[#This Row],[2013]:[2022]])</f>
        <v>-298.89999999999998</v>
      </c>
      <c r="R102" s="25"/>
      <c r="S102" s="25"/>
      <c r="T102" s="25"/>
      <c r="U102" s="25"/>
      <c r="V102" s="25"/>
      <c r="W102" s="25"/>
      <c r="X102" s="25"/>
      <c r="Y102" s="25"/>
      <c r="Z102" s="25"/>
      <c r="AA102" s="25"/>
      <c r="AB102" s="25"/>
    </row>
    <row r="103" spans="2:28">
      <c r="B103" s="539" t="s">
        <v>781</v>
      </c>
      <c r="C103" s="539" t="s">
        <v>41</v>
      </c>
      <c r="D103" s="539" t="s">
        <v>18</v>
      </c>
      <c r="E103" s="540" t="s">
        <v>819</v>
      </c>
      <c r="F103" s="541"/>
      <c r="G103" s="541">
        <f t="shared" ref="G103:P103" si="61">G35-F35</f>
        <v>343</v>
      </c>
      <c r="H103" s="541">
        <f t="shared" si="61"/>
        <v>278</v>
      </c>
      <c r="I103" s="541">
        <f t="shared" si="61"/>
        <v>338</v>
      </c>
      <c r="J103" s="541">
        <f t="shared" si="61"/>
        <v>166</v>
      </c>
      <c r="K103" s="541">
        <f t="shared" si="61"/>
        <v>228</v>
      </c>
      <c r="L103" s="541">
        <f t="shared" si="61"/>
        <v>141</v>
      </c>
      <c r="M103" s="541">
        <f t="shared" si="61"/>
        <v>32</v>
      </c>
      <c r="N103" s="541">
        <f t="shared" si="61"/>
        <v>-30</v>
      </c>
      <c r="O103" s="541">
        <f t="shared" si="61"/>
        <v>1834</v>
      </c>
      <c r="P103" s="541">
        <f t="shared" si="61"/>
        <v>-221</v>
      </c>
      <c r="Q103" s="560">
        <f>AVERAGE(Tabuľka157[[#This Row],[2013]:[2022]])</f>
        <v>310.89999999999998</v>
      </c>
      <c r="R103" s="25"/>
      <c r="S103" s="25"/>
      <c r="T103" s="25"/>
      <c r="U103" s="25"/>
      <c r="V103" s="25"/>
      <c r="W103" s="25"/>
      <c r="X103" s="25"/>
      <c r="Y103" s="25"/>
      <c r="Z103" s="25"/>
      <c r="AA103" s="25"/>
      <c r="AB103" s="25"/>
    </row>
    <row r="104" spans="2:28">
      <c r="B104" s="539" t="s">
        <v>782</v>
      </c>
      <c r="C104" s="539" t="s">
        <v>41</v>
      </c>
      <c r="D104" s="539" t="s">
        <v>20</v>
      </c>
      <c r="E104" s="540" t="s">
        <v>21</v>
      </c>
      <c r="F104" s="541"/>
      <c r="G104" s="541">
        <f t="shared" ref="G104:P104" si="62">G36-F36</f>
        <v>-102</v>
      </c>
      <c r="H104" s="541">
        <f t="shared" si="62"/>
        <v>-49</v>
      </c>
      <c r="I104" s="541">
        <f t="shared" si="62"/>
        <v>-143</v>
      </c>
      <c r="J104" s="541">
        <f t="shared" si="62"/>
        <v>-78</v>
      </c>
      <c r="K104" s="541">
        <f t="shared" si="62"/>
        <v>-111</v>
      </c>
      <c r="L104" s="541">
        <f t="shared" si="62"/>
        <v>-132</v>
      </c>
      <c r="M104" s="541">
        <f t="shared" si="62"/>
        <v>-198</v>
      </c>
      <c r="N104" s="541">
        <f t="shared" si="62"/>
        <v>-196</v>
      </c>
      <c r="O104" s="541">
        <f t="shared" si="62"/>
        <v>167</v>
      </c>
      <c r="P104" s="541">
        <f t="shared" si="62"/>
        <v>-250</v>
      </c>
      <c r="Q104" s="560">
        <f>AVERAGE(Tabuľka157[[#This Row],[2013]:[2022]])</f>
        <v>-109.2</v>
      </c>
      <c r="R104" s="25"/>
      <c r="S104" s="25"/>
      <c r="T104" s="25"/>
      <c r="U104" s="25"/>
      <c r="V104" s="25"/>
      <c r="W104" s="25"/>
      <c r="X104" s="25"/>
      <c r="Y104" s="25"/>
      <c r="Z104" s="25"/>
      <c r="AA104" s="25"/>
      <c r="AB104" s="25"/>
    </row>
    <row r="105" spans="2:28">
      <c r="B105" s="539" t="s">
        <v>48</v>
      </c>
      <c r="C105" s="539" t="s">
        <v>41</v>
      </c>
      <c r="D105" s="539" t="s">
        <v>34</v>
      </c>
      <c r="E105" s="540" t="s">
        <v>35</v>
      </c>
      <c r="F105" s="541"/>
      <c r="G105" s="541">
        <f t="shared" ref="G105:P105" si="63">G37-F37</f>
        <v>-111</v>
      </c>
      <c r="H105" s="541">
        <f t="shared" si="63"/>
        <v>-338</v>
      </c>
      <c r="I105" s="541">
        <f t="shared" si="63"/>
        <v>-279</v>
      </c>
      <c r="J105" s="541">
        <f t="shared" si="63"/>
        <v>-287</v>
      </c>
      <c r="K105" s="541">
        <f t="shared" si="63"/>
        <v>-264</v>
      </c>
      <c r="L105" s="541">
        <f t="shared" si="63"/>
        <v>-182</v>
      </c>
      <c r="M105" s="541">
        <f t="shared" si="63"/>
        <v>-69</v>
      </c>
      <c r="N105" s="541">
        <f t="shared" si="63"/>
        <v>-237</v>
      </c>
      <c r="O105" s="541">
        <f t="shared" si="63"/>
        <v>-1568</v>
      </c>
      <c r="P105" s="541">
        <f t="shared" si="63"/>
        <v>-339</v>
      </c>
      <c r="Q105" s="560">
        <f>AVERAGE(Tabuľka157[[#This Row],[2013]:[2022]])</f>
        <v>-367.4</v>
      </c>
      <c r="R105" s="25"/>
      <c r="S105" s="25"/>
      <c r="T105" s="25"/>
      <c r="U105" s="25"/>
      <c r="V105" s="25"/>
      <c r="W105" s="25"/>
      <c r="X105" s="25"/>
      <c r="Y105" s="25"/>
      <c r="Z105" s="25"/>
      <c r="AA105" s="25"/>
      <c r="AB105" s="25"/>
    </row>
    <row r="106" spans="2:28">
      <c r="B106" s="539" t="s">
        <v>50</v>
      </c>
      <c r="C106" s="539" t="s">
        <v>41</v>
      </c>
      <c r="D106" s="539" t="s">
        <v>23</v>
      </c>
      <c r="E106" s="540" t="s">
        <v>51</v>
      </c>
      <c r="F106" s="541"/>
      <c r="G106" s="541">
        <f t="shared" ref="G106:P106" si="64">G38-F38</f>
        <v>-165</v>
      </c>
      <c r="H106" s="541">
        <f t="shared" si="64"/>
        <v>-248</v>
      </c>
      <c r="I106" s="541">
        <f t="shared" si="64"/>
        <v>-196</v>
      </c>
      <c r="J106" s="541">
        <f t="shared" si="64"/>
        <v>-298</v>
      </c>
      <c r="K106" s="541">
        <f t="shared" si="64"/>
        <v>-238</v>
      </c>
      <c r="L106" s="541">
        <f t="shared" si="64"/>
        <v>-268</v>
      </c>
      <c r="M106" s="541">
        <f t="shared" si="64"/>
        <v>-299</v>
      </c>
      <c r="N106" s="541">
        <f t="shared" si="64"/>
        <v>-333</v>
      </c>
      <c r="O106" s="541">
        <f t="shared" si="64"/>
        <v>-812</v>
      </c>
      <c r="P106" s="541">
        <f t="shared" si="64"/>
        <v>-419</v>
      </c>
      <c r="Q106" s="560">
        <f>AVERAGE(Tabuľka157[[#This Row],[2013]:[2022]])</f>
        <v>-327.60000000000002</v>
      </c>
      <c r="R106" s="25"/>
      <c r="S106" s="25"/>
      <c r="T106" s="25"/>
      <c r="U106" s="25"/>
      <c r="V106" s="25"/>
      <c r="W106" s="25"/>
      <c r="X106" s="27"/>
      <c r="Y106" s="27"/>
      <c r="Z106" s="25"/>
      <c r="AA106" s="27"/>
      <c r="AB106" s="25"/>
    </row>
    <row r="107" spans="2:28">
      <c r="B107" s="539" t="s">
        <v>47</v>
      </c>
      <c r="C107" s="539" t="s">
        <v>41</v>
      </c>
      <c r="D107" s="539" t="s">
        <v>34</v>
      </c>
      <c r="E107" s="540" t="s">
        <v>817</v>
      </c>
      <c r="F107" s="541"/>
      <c r="G107" s="541">
        <f t="shared" ref="G107:P107" si="65">G39-F39</f>
        <v>-429</v>
      </c>
      <c r="H107" s="541">
        <f t="shared" si="65"/>
        <v>-736</v>
      </c>
      <c r="I107" s="541">
        <f t="shared" si="65"/>
        <v>-228</v>
      </c>
      <c r="J107" s="541">
        <f t="shared" si="65"/>
        <v>-341</v>
      </c>
      <c r="K107" s="541">
        <f t="shared" si="65"/>
        <v>-480</v>
      </c>
      <c r="L107" s="541">
        <f t="shared" si="65"/>
        <v>-458</v>
      </c>
      <c r="M107" s="541">
        <f t="shared" si="65"/>
        <v>-216</v>
      </c>
      <c r="N107" s="541">
        <f t="shared" si="65"/>
        <v>-578</v>
      </c>
      <c r="O107" s="541">
        <f t="shared" si="65"/>
        <v>-3989</v>
      </c>
      <c r="P107" s="541">
        <f t="shared" si="65"/>
        <v>-970</v>
      </c>
      <c r="Q107" s="560">
        <f>AVERAGE(Tabuľka157[[#This Row],[2013]:[2022]])</f>
        <v>-842.5</v>
      </c>
      <c r="R107" s="25"/>
      <c r="S107" s="25"/>
      <c r="T107" s="25"/>
      <c r="U107" s="25"/>
      <c r="V107" s="25"/>
      <c r="W107" s="25"/>
      <c r="X107" s="25"/>
      <c r="Y107" s="25"/>
      <c r="Z107" s="25"/>
      <c r="AA107" s="25"/>
      <c r="AB107" s="25"/>
    </row>
    <row r="108" spans="2:28">
      <c r="B108" s="539" t="s">
        <v>52</v>
      </c>
      <c r="C108" s="539" t="s">
        <v>41</v>
      </c>
      <c r="D108" s="539" t="s">
        <v>23</v>
      </c>
      <c r="E108" s="540" t="s">
        <v>24</v>
      </c>
      <c r="F108" s="541"/>
      <c r="G108" s="541">
        <f t="shared" ref="G108:P108" si="66">G40-F40</f>
        <v>-385</v>
      </c>
      <c r="H108" s="541">
        <f t="shared" si="66"/>
        <v>-560</v>
      </c>
      <c r="I108" s="541">
        <f t="shared" si="66"/>
        <v>-431</v>
      </c>
      <c r="J108" s="541">
        <f t="shared" si="66"/>
        <v>-313</v>
      </c>
      <c r="K108" s="541">
        <f t="shared" si="66"/>
        <v>-422</v>
      </c>
      <c r="L108" s="541">
        <f t="shared" si="66"/>
        <v>-349</v>
      </c>
      <c r="M108" s="541">
        <f t="shared" si="66"/>
        <v>-425</v>
      </c>
      <c r="N108" s="541">
        <f t="shared" si="66"/>
        <v>-493</v>
      </c>
      <c r="O108" s="541">
        <f t="shared" si="66"/>
        <v>-786</v>
      </c>
      <c r="P108" s="541">
        <f t="shared" si="66"/>
        <v>-710</v>
      </c>
      <c r="Q108" s="560">
        <f>AVERAGE(Tabuľka157[[#This Row],[2013]:[2022]])</f>
        <v>-487.4</v>
      </c>
      <c r="R108" s="25"/>
      <c r="S108" s="25"/>
      <c r="T108" s="25"/>
      <c r="U108" s="25"/>
      <c r="V108" s="25"/>
      <c r="W108" s="25"/>
      <c r="X108" s="27"/>
      <c r="Y108" s="27"/>
      <c r="Z108" s="25"/>
      <c r="AA108" s="27"/>
      <c r="AB108" s="25"/>
    </row>
    <row r="109" spans="2:28">
      <c r="B109" s="539" t="s">
        <v>783</v>
      </c>
      <c r="C109" s="539" t="s">
        <v>41</v>
      </c>
      <c r="D109" s="539" t="s">
        <v>23</v>
      </c>
      <c r="E109" s="540" t="s">
        <v>820</v>
      </c>
      <c r="F109" s="541"/>
      <c r="G109" s="541">
        <f t="shared" ref="G109:P109" si="67">G41-F41</f>
        <v>-6</v>
      </c>
      <c r="H109" s="541">
        <f t="shared" si="67"/>
        <v>-85</v>
      </c>
      <c r="I109" s="541">
        <f t="shared" si="67"/>
        <v>-74</v>
      </c>
      <c r="J109" s="541">
        <f t="shared" si="67"/>
        <v>-39</v>
      </c>
      <c r="K109" s="541">
        <f t="shared" si="67"/>
        <v>-113</v>
      </c>
      <c r="L109" s="541">
        <f t="shared" si="67"/>
        <v>-88</v>
      </c>
      <c r="M109" s="541">
        <f t="shared" si="67"/>
        <v>-161</v>
      </c>
      <c r="N109" s="541">
        <f t="shared" si="67"/>
        <v>-146</v>
      </c>
      <c r="O109" s="541">
        <f t="shared" si="67"/>
        <v>-162</v>
      </c>
      <c r="P109" s="541">
        <f t="shared" si="67"/>
        <v>-185</v>
      </c>
      <c r="Q109" s="560">
        <f>AVERAGE(Tabuľka157[[#This Row],[2013]:[2022]])</f>
        <v>-105.9</v>
      </c>
      <c r="R109" s="25"/>
      <c r="S109" s="25"/>
      <c r="T109" s="25"/>
      <c r="U109" s="25"/>
      <c r="V109" s="25"/>
      <c r="W109" s="25"/>
      <c r="X109" s="27"/>
      <c r="Y109" s="27"/>
      <c r="Z109" s="25"/>
      <c r="AA109" s="27"/>
      <c r="AB109" s="25"/>
    </row>
    <row r="110" spans="2:28">
      <c r="B110" s="539" t="s">
        <v>784</v>
      </c>
      <c r="C110" s="539" t="s">
        <v>41</v>
      </c>
      <c r="D110" s="539" t="s">
        <v>30</v>
      </c>
      <c r="E110" s="540" t="s">
        <v>31</v>
      </c>
      <c r="F110" s="541"/>
      <c r="G110" s="541">
        <f t="shared" ref="G110:P110" si="68">G42-F42</f>
        <v>-132</v>
      </c>
      <c r="H110" s="541">
        <f t="shared" si="68"/>
        <v>-54</v>
      </c>
      <c r="I110" s="541">
        <f t="shared" si="68"/>
        <v>-51</v>
      </c>
      <c r="J110" s="541">
        <f t="shared" si="68"/>
        <v>-83</v>
      </c>
      <c r="K110" s="541">
        <f t="shared" si="68"/>
        <v>-124</v>
      </c>
      <c r="L110" s="541">
        <f t="shared" si="68"/>
        <v>-122</v>
      </c>
      <c r="M110" s="541">
        <f t="shared" si="68"/>
        <v>-137</v>
      </c>
      <c r="N110" s="541">
        <f t="shared" si="68"/>
        <v>-189</v>
      </c>
      <c r="O110" s="541">
        <f t="shared" si="68"/>
        <v>-1720</v>
      </c>
      <c r="P110" s="541">
        <f t="shared" si="68"/>
        <v>-315</v>
      </c>
      <c r="Q110" s="560">
        <f>AVERAGE(Tabuľka157[[#This Row],[2013]:[2022]])</f>
        <v>-292.7</v>
      </c>
      <c r="R110" s="25"/>
      <c r="S110" s="25"/>
      <c r="T110" s="25"/>
      <c r="U110" s="25"/>
      <c r="V110" s="25"/>
      <c r="W110" s="25"/>
      <c r="X110" s="27"/>
      <c r="Y110" s="27"/>
      <c r="Z110" s="25"/>
      <c r="AA110" s="27"/>
      <c r="AB110" s="25"/>
    </row>
    <row r="111" spans="2:28">
      <c r="B111" s="539" t="s">
        <v>785</v>
      </c>
      <c r="C111" s="539" t="s">
        <v>41</v>
      </c>
      <c r="D111" s="539" t="s">
        <v>38</v>
      </c>
      <c r="E111" s="540" t="s">
        <v>39</v>
      </c>
      <c r="F111" s="541"/>
      <c r="G111" s="541">
        <f t="shared" ref="G111:P111" si="69">G43-F43</f>
        <v>-157</v>
      </c>
      <c r="H111" s="541">
        <f t="shared" si="69"/>
        <v>-55</v>
      </c>
      <c r="I111" s="541">
        <f t="shared" si="69"/>
        <v>-53</v>
      </c>
      <c r="J111" s="541">
        <f t="shared" si="69"/>
        <v>-106</v>
      </c>
      <c r="K111" s="541">
        <f t="shared" si="69"/>
        <v>-101</v>
      </c>
      <c r="L111" s="541">
        <f t="shared" si="69"/>
        <v>-8</v>
      </c>
      <c r="M111" s="541">
        <f t="shared" si="69"/>
        <v>-137</v>
      </c>
      <c r="N111" s="541">
        <f t="shared" si="69"/>
        <v>-103</v>
      </c>
      <c r="O111" s="541">
        <f t="shared" si="69"/>
        <v>-1595</v>
      </c>
      <c r="P111" s="541">
        <f t="shared" si="69"/>
        <v>-225</v>
      </c>
      <c r="Q111" s="560">
        <f>AVERAGE(Tabuľka157[[#This Row],[2013]:[2022]])</f>
        <v>-254</v>
      </c>
      <c r="R111" s="25"/>
      <c r="S111" s="25"/>
      <c r="T111" s="25"/>
      <c r="U111" s="25"/>
      <c r="V111" s="25"/>
      <c r="W111" s="25"/>
      <c r="X111" s="27"/>
      <c r="Y111" s="27"/>
      <c r="Z111" s="25"/>
      <c r="AA111" s="27"/>
      <c r="AB111" s="25"/>
    </row>
    <row r="112" spans="2:28">
      <c r="B112" s="539" t="s">
        <v>60</v>
      </c>
      <c r="C112" s="539" t="s">
        <v>41</v>
      </c>
      <c r="D112" s="539" t="s">
        <v>26</v>
      </c>
      <c r="E112" s="540" t="s">
        <v>61</v>
      </c>
      <c r="F112" s="541"/>
      <c r="G112" s="541">
        <f t="shared" ref="G112:P112" si="70">G44-F44</f>
        <v>-261</v>
      </c>
      <c r="H112" s="541">
        <f t="shared" si="70"/>
        <v>-333</v>
      </c>
      <c r="I112" s="541">
        <f t="shared" si="70"/>
        <v>-267</v>
      </c>
      <c r="J112" s="541">
        <f t="shared" si="70"/>
        <v>-207</v>
      </c>
      <c r="K112" s="541">
        <f t="shared" si="70"/>
        <v>-223</v>
      </c>
      <c r="L112" s="541">
        <f t="shared" si="70"/>
        <v>-145</v>
      </c>
      <c r="M112" s="541">
        <f t="shared" si="70"/>
        <v>-151</v>
      </c>
      <c r="N112" s="541">
        <f t="shared" si="70"/>
        <v>-203</v>
      </c>
      <c r="O112" s="541">
        <f t="shared" si="70"/>
        <v>688</v>
      </c>
      <c r="P112" s="541">
        <f t="shared" si="70"/>
        <v>-249</v>
      </c>
      <c r="Q112" s="560">
        <f>AVERAGE(Tabuľka157[[#This Row],[2013]:[2022]])</f>
        <v>-135.1</v>
      </c>
      <c r="R112" s="25"/>
      <c r="S112" s="25"/>
      <c r="T112" s="25"/>
      <c r="U112" s="25"/>
      <c r="V112" s="25"/>
      <c r="W112" s="25"/>
      <c r="X112" s="25"/>
      <c r="Y112" s="25"/>
      <c r="Z112" s="25"/>
      <c r="AA112" s="25"/>
      <c r="AB112" s="25"/>
    </row>
    <row r="113" spans="2:28">
      <c r="B113" s="539" t="s">
        <v>786</v>
      </c>
      <c r="C113" s="539" t="s">
        <v>41</v>
      </c>
      <c r="D113" s="539" t="s">
        <v>28</v>
      </c>
      <c r="E113" s="540" t="s">
        <v>814</v>
      </c>
      <c r="F113" s="541"/>
      <c r="G113" s="541">
        <f t="shared" ref="G113:P113" si="71">G45-F45</f>
        <v>-47</v>
      </c>
      <c r="H113" s="541">
        <f t="shared" si="71"/>
        <v>-28</v>
      </c>
      <c r="I113" s="541">
        <f t="shared" si="71"/>
        <v>-53</v>
      </c>
      <c r="J113" s="541">
        <f t="shared" si="71"/>
        <v>-95</v>
      </c>
      <c r="K113" s="541">
        <f t="shared" si="71"/>
        <v>-47</v>
      </c>
      <c r="L113" s="541">
        <f t="shared" si="71"/>
        <v>-83</v>
      </c>
      <c r="M113" s="541">
        <f t="shared" si="71"/>
        <v>-19</v>
      </c>
      <c r="N113" s="541">
        <f t="shared" si="71"/>
        <v>-96</v>
      </c>
      <c r="O113" s="541">
        <f t="shared" si="71"/>
        <v>37</v>
      </c>
      <c r="P113" s="541">
        <f t="shared" si="71"/>
        <v>-91</v>
      </c>
      <c r="Q113" s="560">
        <f>AVERAGE(Tabuľka157[[#This Row],[2013]:[2022]])</f>
        <v>-52.2</v>
      </c>
      <c r="R113" s="25"/>
      <c r="S113" s="25"/>
      <c r="T113" s="25"/>
      <c r="U113" s="25"/>
      <c r="V113" s="25"/>
      <c r="W113" s="25"/>
      <c r="X113" s="27"/>
      <c r="Y113" s="27"/>
      <c r="Z113" s="25"/>
      <c r="AA113" s="27"/>
      <c r="AB113" s="25"/>
    </row>
    <row r="114" spans="2:28">
      <c r="B114" s="539" t="s">
        <v>787</v>
      </c>
      <c r="C114" s="539" t="s">
        <v>41</v>
      </c>
      <c r="D114" s="539" t="s">
        <v>28</v>
      </c>
      <c r="E114" s="540" t="s">
        <v>814</v>
      </c>
      <c r="F114" s="541"/>
      <c r="G114" s="541">
        <f t="shared" ref="G114:P114" si="72">G46-F46</f>
        <v>-170</v>
      </c>
      <c r="H114" s="541">
        <f t="shared" si="72"/>
        <v>-160</v>
      </c>
      <c r="I114" s="541">
        <f t="shared" si="72"/>
        <v>-224</v>
      </c>
      <c r="J114" s="541">
        <f t="shared" si="72"/>
        <v>-250</v>
      </c>
      <c r="K114" s="541">
        <f t="shared" si="72"/>
        <v>-245</v>
      </c>
      <c r="L114" s="541">
        <f t="shared" si="72"/>
        <v>-326</v>
      </c>
      <c r="M114" s="541">
        <f t="shared" si="72"/>
        <v>-204</v>
      </c>
      <c r="N114" s="541">
        <f t="shared" si="72"/>
        <v>-212</v>
      </c>
      <c r="O114" s="541">
        <f t="shared" si="72"/>
        <v>-657</v>
      </c>
      <c r="P114" s="541">
        <f t="shared" si="72"/>
        <v>-268</v>
      </c>
      <c r="Q114" s="560">
        <f>AVERAGE(Tabuľka157[[#This Row],[2013]:[2022]])</f>
        <v>-271.60000000000002</v>
      </c>
      <c r="R114" s="25"/>
      <c r="S114" s="25"/>
      <c r="T114" s="25"/>
      <c r="U114" s="25"/>
      <c r="V114" s="25"/>
      <c r="W114" s="25"/>
      <c r="X114" s="25"/>
      <c r="Y114" s="25"/>
      <c r="Z114" s="25"/>
      <c r="AA114" s="25"/>
      <c r="AB114" s="25"/>
    </row>
    <row r="115" spans="2:28">
      <c r="B115" s="539" t="s">
        <v>788</v>
      </c>
      <c r="C115" s="539" t="s">
        <v>41</v>
      </c>
      <c r="D115" s="539" t="s">
        <v>18</v>
      </c>
      <c r="E115" s="540" t="s">
        <v>816</v>
      </c>
      <c r="F115" s="541"/>
      <c r="G115" s="541">
        <f t="shared" ref="G115:P115" si="73">G47-F47</f>
        <v>240</v>
      </c>
      <c r="H115" s="541">
        <f t="shared" si="73"/>
        <v>402</v>
      </c>
      <c r="I115" s="541">
        <f t="shared" si="73"/>
        <v>450</v>
      </c>
      <c r="J115" s="541">
        <f t="shared" si="73"/>
        <v>428</v>
      </c>
      <c r="K115" s="541">
        <f t="shared" si="73"/>
        <v>324</v>
      </c>
      <c r="L115" s="541">
        <f t="shared" si="73"/>
        <v>301</v>
      </c>
      <c r="M115" s="541">
        <f t="shared" si="73"/>
        <v>252</v>
      </c>
      <c r="N115" s="541">
        <f t="shared" si="73"/>
        <v>34</v>
      </c>
      <c r="O115" s="541">
        <f t="shared" si="73"/>
        <v>134</v>
      </c>
      <c r="P115" s="541">
        <f t="shared" si="73"/>
        <v>-16</v>
      </c>
      <c r="Q115" s="560">
        <f>AVERAGE(Tabuľka157[[#This Row],[2013]:[2022]])</f>
        <v>254.9</v>
      </c>
      <c r="R115" s="25"/>
      <c r="S115" s="25"/>
      <c r="T115" s="25"/>
      <c r="U115" s="25"/>
      <c r="V115" s="25"/>
      <c r="W115" s="25"/>
      <c r="X115" s="25"/>
      <c r="Y115" s="25"/>
      <c r="Z115" s="25"/>
      <c r="AA115" s="25"/>
      <c r="AB115" s="25"/>
    </row>
    <row r="116" spans="2:28">
      <c r="B116" s="539" t="s">
        <v>789</v>
      </c>
      <c r="C116" s="539" t="s">
        <v>41</v>
      </c>
      <c r="D116" s="539" t="s">
        <v>20</v>
      </c>
      <c r="E116" s="540" t="s">
        <v>21</v>
      </c>
      <c r="F116" s="541"/>
      <c r="G116" s="541">
        <f t="shared" ref="G116:P116" si="74">G48-F48</f>
        <v>-12</v>
      </c>
      <c r="H116" s="541">
        <f t="shared" si="74"/>
        <v>34</v>
      </c>
      <c r="I116" s="541">
        <f t="shared" si="74"/>
        <v>28</v>
      </c>
      <c r="J116" s="541">
        <f t="shared" si="74"/>
        <v>22</v>
      </c>
      <c r="K116" s="541">
        <f t="shared" si="74"/>
        <v>-60</v>
      </c>
      <c r="L116" s="541">
        <f t="shared" si="74"/>
        <v>-18</v>
      </c>
      <c r="M116" s="541">
        <f t="shared" si="74"/>
        <v>-35</v>
      </c>
      <c r="N116" s="541">
        <f t="shared" si="74"/>
        <v>-91</v>
      </c>
      <c r="O116" s="541">
        <f t="shared" si="74"/>
        <v>-578</v>
      </c>
      <c r="P116" s="541">
        <f t="shared" si="74"/>
        <v>-190</v>
      </c>
      <c r="Q116" s="560">
        <f>AVERAGE(Tabuľka157[[#This Row],[2013]:[2022]])</f>
        <v>-90</v>
      </c>
      <c r="R116" s="25"/>
      <c r="S116" s="25"/>
      <c r="T116" s="25"/>
      <c r="U116" s="25"/>
      <c r="V116" s="25"/>
      <c r="W116" s="25"/>
      <c r="X116" s="25"/>
      <c r="Y116" s="25"/>
      <c r="Z116" s="25"/>
      <c r="AA116" s="25"/>
      <c r="AB116" s="25"/>
    </row>
    <row r="117" spans="2:28">
      <c r="B117" s="539" t="s">
        <v>790</v>
      </c>
      <c r="C117" s="539" t="s">
        <v>41</v>
      </c>
      <c r="D117" s="539" t="s">
        <v>20</v>
      </c>
      <c r="E117" s="540" t="s">
        <v>810</v>
      </c>
      <c r="F117" s="541"/>
      <c r="G117" s="541">
        <f t="shared" ref="G117:P117" si="75">G49-F49</f>
        <v>-55</v>
      </c>
      <c r="H117" s="541">
        <f t="shared" si="75"/>
        <v>-113</v>
      </c>
      <c r="I117" s="541">
        <f t="shared" si="75"/>
        <v>-70</v>
      </c>
      <c r="J117" s="541">
        <f t="shared" si="75"/>
        <v>-109</v>
      </c>
      <c r="K117" s="541">
        <f t="shared" si="75"/>
        <v>-88</v>
      </c>
      <c r="L117" s="541">
        <f t="shared" si="75"/>
        <v>-145</v>
      </c>
      <c r="M117" s="541">
        <f t="shared" si="75"/>
        <v>-137</v>
      </c>
      <c r="N117" s="541">
        <f t="shared" si="75"/>
        <v>-118</v>
      </c>
      <c r="O117" s="541">
        <f t="shared" si="75"/>
        <v>175</v>
      </c>
      <c r="P117" s="541">
        <f t="shared" si="75"/>
        <v>-211</v>
      </c>
      <c r="Q117" s="560">
        <f>AVERAGE(Tabuľka157[[#This Row],[2013]:[2022]])</f>
        <v>-87.1</v>
      </c>
      <c r="R117" s="25"/>
      <c r="S117" s="25"/>
      <c r="T117" s="25"/>
      <c r="U117" s="25"/>
      <c r="V117" s="25"/>
      <c r="W117" s="25"/>
      <c r="X117" s="27"/>
      <c r="Y117" s="27"/>
      <c r="Z117" s="25"/>
      <c r="AA117" s="27"/>
      <c r="AB117" s="25"/>
    </row>
    <row r="118" spans="2:28">
      <c r="B118" s="539" t="s">
        <v>791</v>
      </c>
      <c r="C118" s="539" t="s">
        <v>41</v>
      </c>
      <c r="D118" s="539" t="s">
        <v>20</v>
      </c>
      <c r="E118" s="540" t="s">
        <v>821</v>
      </c>
      <c r="F118" s="541"/>
      <c r="G118" s="541">
        <f t="shared" ref="G118:P118" si="76">G50-F50</f>
        <v>105</v>
      </c>
      <c r="H118" s="541">
        <f t="shared" si="76"/>
        <v>35</v>
      </c>
      <c r="I118" s="541">
        <f t="shared" si="76"/>
        <v>57</v>
      </c>
      <c r="J118" s="541">
        <f t="shared" si="76"/>
        <v>108</v>
      </c>
      <c r="K118" s="541">
        <f t="shared" si="76"/>
        <v>53</v>
      </c>
      <c r="L118" s="541">
        <f t="shared" si="76"/>
        <v>49</v>
      </c>
      <c r="M118" s="541">
        <f t="shared" si="76"/>
        <v>6</v>
      </c>
      <c r="N118" s="541">
        <f t="shared" si="76"/>
        <v>-22</v>
      </c>
      <c r="O118" s="541">
        <f t="shared" si="76"/>
        <v>501</v>
      </c>
      <c r="P118" s="541">
        <f t="shared" si="76"/>
        <v>-30</v>
      </c>
      <c r="Q118" s="560">
        <f>AVERAGE(Tabuľka157[[#This Row],[2013]:[2022]])</f>
        <v>86.2</v>
      </c>
      <c r="R118" s="25"/>
      <c r="S118" s="25"/>
      <c r="T118" s="25"/>
      <c r="U118" s="25"/>
      <c r="V118" s="25"/>
      <c r="W118" s="25"/>
      <c r="X118" s="27"/>
      <c r="Y118" s="27"/>
      <c r="Z118" s="25"/>
      <c r="AA118" s="27"/>
      <c r="AB118" s="25"/>
    </row>
    <row r="119" spans="2:28">
      <c r="B119" s="539" t="s">
        <v>792</v>
      </c>
      <c r="C119" s="539" t="s">
        <v>41</v>
      </c>
      <c r="D119" s="539" t="s">
        <v>34</v>
      </c>
      <c r="E119" s="540" t="s">
        <v>822</v>
      </c>
      <c r="F119" s="541"/>
      <c r="G119" s="541">
        <f t="shared" ref="G119:P119" si="77">G51-F51</f>
        <v>-100</v>
      </c>
      <c r="H119" s="541">
        <f t="shared" si="77"/>
        <v>-202</v>
      </c>
      <c r="I119" s="541">
        <f t="shared" si="77"/>
        <v>-120</v>
      </c>
      <c r="J119" s="541">
        <f t="shared" si="77"/>
        <v>-143</v>
      </c>
      <c r="K119" s="541">
        <f t="shared" si="77"/>
        <v>-176</v>
      </c>
      <c r="L119" s="541">
        <f t="shared" si="77"/>
        <v>-160</v>
      </c>
      <c r="M119" s="541">
        <f t="shared" si="77"/>
        <v>-175</v>
      </c>
      <c r="N119" s="541">
        <f t="shared" si="77"/>
        <v>-198</v>
      </c>
      <c r="O119" s="541">
        <f t="shared" si="77"/>
        <v>-857</v>
      </c>
      <c r="P119" s="541">
        <f t="shared" si="77"/>
        <v>-257</v>
      </c>
      <c r="Q119" s="560">
        <f>AVERAGE(Tabuľka157[[#This Row],[2013]:[2022]])</f>
        <v>-238.8</v>
      </c>
      <c r="R119" s="25"/>
      <c r="S119" s="25"/>
      <c r="T119" s="25"/>
      <c r="U119" s="25"/>
      <c r="V119" s="25"/>
      <c r="W119" s="25"/>
      <c r="X119" s="27"/>
      <c r="Y119" s="27"/>
      <c r="Z119" s="25"/>
      <c r="AA119" s="27"/>
      <c r="AB119" s="25"/>
    </row>
    <row r="120" spans="2:28">
      <c r="B120" s="539" t="s">
        <v>58</v>
      </c>
      <c r="C120" s="539" t="s">
        <v>41</v>
      </c>
      <c r="D120" s="539" t="s">
        <v>38</v>
      </c>
      <c r="E120" s="540" t="s">
        <v>39</v>
      </c>
      <c r="F120" s="541"/>
      <c r="G120" s="541">
        <f t="shared" ref="G120:P120" si="78">G52-F52</f>
        <v>28</v>
      </c>
      <c r="H120" s="541">
        <f t="shared" si="78"/>
        <v>-88</v>
      </c>
      <c r="I120" s="541">
        <f t="shared" si="78"/>
        <v>-113</v>
      </c>
      <c r="J120" s="541">
        <f t="shared" si="78"/>
        <v>-122</v>
      </c>
      <c r="K120" s="541">
        <f t="shared" si="78"/>
        <v>-146</v>
      </c>
      <c r="L120" s="541">
        <f t="shared" si="78"/>
        <v>-132</v>
      </c>
      <c r="M120" s="541">
        <f t="shared" si="78"/>
        <v>-187</v>
      </c>
      <c r="N120" s="541">
        <f t="shared" si="78"/>
        <v>-278</v>
      </c>
      <c r="O120" s="541">
        <f t="shared" si="78"/>
        <v>-1591</v>
      </c>
      <c r="P120" s="541">
        <f t="shared" si="78"/>
        <v>-283</v>
      </c>
      <c r="Q120" s="560">
        <f>AVERAGE(Tabuľka157[[#This Row],[2013]:[2022]])</f>
        <v>-291.2</v>
      </c>
      <c r="R120" s="25"/>
      <c r="S120" s="25"/>
      <c r="T120" s="25"/>
      <c r="U120" s="25"/>
      <c r="V120" s="25"/>
      <c r="W120" s="25"/>
      <c r="X120" s="27"/>
      <c r="Y120" s="27"/>
      <c r="Z120" s="25"/>
      <c r="AA120" s="27"/>
      <c r="AB120" s="25"/>
    </row>
    <row r="121" spans="2:28">
      <c r="B121" s="539" t="s">
        <v>793</v>
      </c>
      <c r="C121" s="539" t="s">
        <v>41</v>
      </c>
      <c r="D121" s="539" t="s">
        <v>34</v>
      </c>
      <c r="E121" s="540" t="s">
        <v>813</v>
      </c>
      <c r="F121" s="541"/>
      <c r="G121" s="541">
        <f t="shared" ref="G121:P121" si="79">G53-F53</f>
        <v>8</v>
      </c>
      <c r="H121" s="541">
        <f t="shared" si="79"/>
        <v>7</v>
      </c>
      <c r="I121" s="541">
        <f t="shared" si="79"/>
        <v>-19</v>
      </c>
      <c r="J121" s="541">
        <f t="shared" si="79"/>
        <v>-14</v>
      </c>
      <c r="K121" s="541">
        <f t="shared" si="79"/>
        <v>15</v>
      </c>
      <c r="L121" s="541">
        <f t="shared" si="79"/>
        <v>-18</v>
      </c>
      <c r="M121" s="541">
        <f t="shared" si="79"/>
        <v>-3</v>
      </c>
      <c r="N121" s="541">
        <f t="shared" si="79"/>
        <v>-67</v>
      </c>
      <c r="O121" s="541">
        <f t="shared" si="79"/>
        <v>-428</v>
      </c>
      <c r="P121" s="541">
        <f t="shared" si="79"/>
        <v>-125</v>
      </c>
      <c r="Q121" s="560">
        <f>AVERAGE(Tabuľka157[[#This Row],[2013]:[2022]])</f>
        <v>-64.400000000000006</v>
      </c>
      <c r="R121" s="25"/>
      <c r="S121" s="25"/>
      <c r="T121" s="25"/>
      <c r="U121" s="25"/>
      <c r="V121" s="25"/>
      <c r="W121" s="25"/>
      <c r="X121" s="27"/>
      <c r="Y121" s="27"/>
      <c r="Z121" s="25"/>
      <c r="AA121" s="27"/>
      <c r="AB121" s="25"/>
    </row>
    <row r="122" spans="2:28">
      <c r="B122" s="539" t="s">
        <v>794</v>
      </c>
      <c r="C122" s="539" t="s">
        <v>41</v>
      </c>
      <c r="D122" s="539" t="s">
        <v>28</v>
      </c>
      <c r="E122" s="540" t="s">
        <v>814</v>
      </c>
      <c r="F122" s="541"/>
      <c r="G122" s="541">
        <f t="shared" ref="G122:P122" si="80">G54-F54</f>
        <v>-89</v>
      </c>
      <c r="H122" s="541">
        <f t="shared" si="80"/>
        <v>-98</v>
      </c>
      <c r="I122" s="541">
        <f t="shared" si="80"/>
        <v>-44</v>
      </c>
      <c r="J122" s="541">
        <f t="shared" si="80"/>
        <v>-59</v>
      </c>
      <c r="K122" s="541">
        <f t="shared" si="80"/>
        <v>-75</v>
      </c>
      <c r="L122" s="541">
        <f t="shared" si="80"/>
        <v>-111</v>
      </c>
      <c r="M122" s="541">
        <f t="shared" si="80"/>
        <v>-93</v>
      </c>
      <c r="N122" s="541">
        <f t="shared" si="80"/>
        <v>-74</v>
      </c>
      <c r="O122" s="541">
        <f t="shared" si="80"/>
        <v>-521</v>
      </c>
      <c r="P122" s="541">
        <f t="shared" si="80"/>
        <v>-151</v>
      </c>
      <c r="Q122" s="560">
        <f>AVERAGE(Tabuľka157[[#This Row],[2013]:[2022]])</f>
        <v>-131.5</v>
      </c>
      <c r="R122" s="25"/>
      <c r="S122" s="25"/>
      <c r="T122" s="25"/>
      <c r="U122" s="25"/>
      <c r="V122" s="25"/>
      <c r="W122" s="25"/>
      <c r="X122" s="27"/>
      <c r="Y122" s="27"/>
      <c r="Z122" s="25"/>
      <c r="AA122" s="27"/>
      <c r="AB122" s="25"/>
    </row>
    <row r="123" spans="2:28">
      <c r="B123" s="539" t="s">
        <v>795</v>
      </c>
      <c r="C123" s="539" t="s">
        <v>41</v>
      </c>
      <c r="D123" s="539" t="s">
        <v>28</v>
      </c>
      <c r="E123" s="540" t="s">
        <v>814</v>
      </c>
      <c r="F123" s="541"/>
      <c r="G123" s="541">
        <f t="shared" ref="G123:P123" si="81">G55-F55</f>
        <v>-35</v>
      </c>
      <c r="H123" s="541">
        <f t="shared" si="81"/>
        <v>-25</v>
      </c>
      <c r="I123" s="541">
        <f t="shared" si="81"/>
        <v>-95</v>
      </c>
      <c r="J123" s="541">
        <f t="shared" si="81"/>
        <v>-68</v>
      </c>
      <c r="K123" s="541">
        <f t="shared" si="81"/>
        <v>-14</v>
      </c>
      <c r="L123" s="541">
        <f t="shared" si="81"/>
        <v>-96</v>
      </c>
      <c r="M123" s="541">
        <f t="shared" si="81"/>
        <v>-123</v>
      </c>
      <c r="N123" s="541">
        <f t="shared" si="81"/>
        <v>-78</v>
      </c>
      <c r="O123" s="541">
        <f t="shared" si="81"/>
        <v>-104</v>
      </c>
      <c r="P123" s="541">
        <f t="shared" si="81"/>
        <v>-151</v>
      </c>
      <c r="Q123" s="560">
        <f>AVERAGE(Tabuľka157[[#This Row],[2013]:[2022]])</f>
        <v>-78.900000000000006</v>
      </c>
      <c r="R123" s="25"/>
      <c r="S123" s="25"/>
      <c r="T123" s="25"/>
      <c r="U123" s="25"/>
      <c r="V123" s="25"/>
      <c r="W123" s="25"/>
      <c r="X123" s="27"/>
      <c r="Y123" s="27"/>
      <c r="Z123" s="25"/>
      <c r="AA123" s="27"/>
      <c r="AB123" s="25"/>
    </row>
    <row r="124" spans="2:28">
      <c r="B124" s="539" t="s">
        <v>796</v>
      </c>
      <c r="C124" s="539" t="s">
        <v>41</v>
      </c>
      <c r="D124" s="539" t="s">
        <v>34</v>
      </c>
      <c r="E124" s="540" t="s">
        <v>823</v>
      </c>
      <c r="F124" s="541"/>
      <c r="G124" s="541">
        <f t="shared" ref="G124:P124" si="82">G56-F56</f>
        <v>59</v>
      </c>
      <c r="H124" s="541">
        <f t="shared" si="82"/>
        <v>60</v>
      </c>
      <c r="I124" s="541">
        <f t="shared" si="82"/>
        <v>32</v>
      </c>
      <c r="J124" s="541">
        <f t="shared" si="82"/>
        <v>-23</v>
      </c>
      <c r="K124" s="541">
        <f t="shared" si="82"/>
        <v>22</v>
      </c>
      <c r="L124" s="541">
        <f t="shared" si="82"/>
        <v>20</v>
      </c>
      <c r="M124" s="541">
        <f t="shared" si="82"/>
        <v>133</v>
      </c>
      <c r="N124" s="541">
        <f t="shared" si="82"/>
        <v>8</v>
      </c>
      <c r="O124" s="541">
        <f t="shared" si="82"/>
        <v>-228</v>
      </c>
      <c r="P124" s="541">
        <f t="shared" si="82"/>
        <v>11</v>
      </c>
      <c r="Q124" s="560">
        <f>AVERAGE(Tabuľka157[[#This Row],[2013]:[2022]])</f>
        <v>9.4</v>
      </c>
      <c r="R124" s="25"/>
      <c r="S124" s="25"/>
      <c r="T124" s="25"/>
      <c r="U124" s="25"/>
      <c r="V124" s="25"/>
      <c r="W124" s="25"/>
      <c r="X124" s="27"/>
      <c r="Y124" s="27"/>
      <c r="Z124" s="25"/>
      <c r="AA124" s="27"/>
      <c r="AB124" s="25"/>
    </row>
    <row r="125" spans="2:28">
      <c r="B125" s="539" t="s">
        <v>797</v>
      </c>
      <c r="C125" s="539" t="s">
        <v>41</v>
      </c>
      <c r="D125" s="539" t="s">
        <v>28</v>
      </c>
      <c r="E125" s="540" t="s">
        <v>824</v>
      </c>
      <c r="F125" s="541"/>
      <c r="G125" s="541">
        <f t="shared" ref="G125:P125" si="83">G57-F57</f>
        <v>-287</v>
      </c>
      <c r="H125" s="541">
        <f t="shared" si="83"/>
        <v>-208</v>
      </c>
      <c r="I125" s="541">
        <f t="shared" si="83"/>
        <v>-225</v>
      </c>
      <c r="J125" s="541">
        <f t="shared" si="83"/>
        <v>-354</v>
      </c>
      <c r="K125" s="541">
        <f t="shared" si="83"/>
        <v>-350</v>
      </c>
      <c r="L125" s="541">
        <f t="shared" si="83"/>
        <v>-311</v>
      </c>
      <c r="M125" s="541">
        <f t="shared" si="83"/>
        <v>-396</v>
      </c>
      <c r="N125" s="541">
        <f t="shared" si="83"/>
        <v>-347</v>
      </c>
      <c r="O125" s="541">
        <f t="shared" si="83"/>
        <v>366</v>
      </c>
      <c r="P125" s="541">
        <f t="shared" si="83"/>
        <v>-389</v>
      </c>
      <c r="Q125" s="560">
        <f>AVERAGE(Tabuľka157[[#This Row],[2013]:[2022]])</f>
        <v>-250.1</v>
      </c>
      <c r="R125" s="25"/>
      <c r="S125" s="25"/>
      <c r="T125" s="25"/>
      <c r="U125" s="25"/>
      <c r="V125" s="25"/>
      <c r="W125" s="25"/>
      <c r="X125" s="27"/>
      <c r="Y125" s="27"/>
      <c r="Z125" s="25"/>
      <c r="AA125" s="27"/>
      <c r="AB125" s="25"/>
    </row>
    <row r="126" spans="2:28">
      <c r="B126" s="539" t="s">
        <v>798</v>
      </c>
      <c r="C126" s="539" t="s">
        <v>41</v>
      </c>
      <c r="D126" s="539" t="s">
        <v>38</v>
      </c>
      <c r="E126" s="540" t="s">
        <v>825</v>
      </c>
      <c r="F126" s="541"/>
      <c r="G126" s="541">
        <f t="shared" ref="G126:P126" si="84">G58-F58</f>
        <v>5</v>
      </c>
      <c r="H126" s="541">
        <f t="shared" si="84"/>
        <v>-22</v>
      </c>
      <c r="I126" s="541">
        <f t="shared" si="84"/>
        <v>0</v>
      </c>
      <c r="J126" s="541">
        <f t="shared" si="84"/>
        <v>57</v>
      </c>
      <c r="K126" s="541">
        <f t="shared" si="84"/>
        <v>30</v>
      </c>
      <c r="L126" s="541">
        <f t="shared" si="84"/>
        <v>10</v>
      </c>
      <c r="M126" s="541">
        <f t="shared" si="84"/>
        <v>52</v>
      </c>
      <c r="N126" s="541">
        <f t="shared" si="84"/>
        <v>-103</v>
      </c>
      <c r="O126" s="541">
        <f t="shared" si="84"/>
        <v>-1469</v>
      </c>
      <c r="P126" s="541">
        <f t="shared" si="84"/>
        <v>-187</v>
      </c>
      <c r="Q126" s="560">
        <f>AVERAGE(Tabuľka157[[#This Row],[2013]:[2022]])</f>
        <v>-162.69999999999999</v>
      </c>
      <c r="R126" s="25"/>
      <c r="S126" s="25"/>
      <c r="T126" s="25"/>
      <c r="U126" s="25"/>
      <c r="V126" s="25"/>
      <c r="W126" s="25"/>
      <c r="X126" s="25"/>
      <c r="Y126" s="25"/>
      <c r="Z126" s="25"/>
      <c r="AA126" s="25"/>
      <c r="AB126" s="25"/>
    </row>
    <row r="127" spans="2:28">
      <c r="B127" s="539" t="s">
        <v>49</v>
      </c>
      <c r="C127" s="539" t="s">
        <v>41</v>
      </c>
      <c r="D127" s="539" t="s">
        <v>23</v>
      </c>
      <c r="E127" s="540" t="s">
        <v>46</v>
      </c>
      <c r="F127" s="541"/>
      <c r="G127" s="541">
        <f t="shared" ref="G127:P127" si="85">G59-F59</f>
        <v>3</v>
      </c>
      <c r="H127" s="541">
        <f t="shared" si="85"/>
        <v>-29</v>
      </c>
      <c r="I127" s="541">
        <f t="shared" si="85"/>
        <v>-159</v>
      </c>
      <c r="J127" s="541">
        <f t="shared" si="85"/>
        <v>-105</v>
      </c>
      <c r="K127" s="541">
        <f t="shared" si="85"/>
        <v>-56</v>
      </c>
      <c r="L127" s="541">
        <f t="shared" si="85"/>
        <v>-204</v>
      </c>
      <c r="M127" s="541">
        <f t="shared" si="85"/>
        <v>50</v>
      </c>
      <c r="N127" s="541">
        <f t="shared" si="85"/>
        <v>33</v>
      </c>
      <c r="O127" s="541">
        <f t="shared" si="85"/>
        <v>-958</v>
      </c>
      <c r="P127" s="541">
        <f t="shared" si="85"/>
        <v>-351</v>
      </c>
      <c r="Q127" s="560">
        <f>AVERAGE(Tabuľka157[[#This Row],[2013]:[2022]])</f>
        <v>-177.6</v>
      </c>
      <c r="R127" s="25"/>
      <c r="S127" s="25"/>
      <c r="T127" s="25"/>
      <c r="U127" s="25"/>
      <c r="V127" s="25"/>
      <c r="W127" s="25"/>
      <c r="X127" s="25"/>
      <c r="Y127" s="25"/>
      <c r="Z127" s="25"/>
      <c r="AA127" s="25"/>
      <c r="AB127" s="25"/>
    </row>
    <row r="128" spans="2:28">
      <c r="B128" s="539" t="s">
        <v>53</v>
      </c>
      <c r="C128" s="539" t="s">
        <v>41</v>
      </c>
      <c r="D128" s="539" t="s">
        <v>20</v>
      </c>
      <c r="E128" s="540" t="s">
        <v>21</v>
      </c>
      <c r="F128" s="541"/>
      <c r="G128" s="541">
        <f t="shared" ref="G128:P128" si="86">G60-F60</f>
        <v>-95</v>
      </c>
      <c r="H128" s="541">
        <f t="shared" si="86"/>
        <v>-265</v>
      </c>
      <c r="I128" s="541">
        <f t="shared" si="86"/>
        <v>-117</v>
      </c>
      <c r="J128" s="541">
        <f t="shared" si="86"/>
        <v>-60</v>
      </c>
      <c r="K128" s="541">
        <f t="shared" si="86"/>
        <v>-154</v>
      </c>
      <c r="L128" s="541">
        <f t="shared" si="86"/>
        <v>-175</v>
      </c>
      <c r="M128" s="541">
        <f t="shared" si="86"/>
        <v>-174</v>
      </c>
      <c r="N128" s="541">
        <f t="shared" si="86"/>
        <v>-298</v>
      </c>
      <c r="O128" s="541">
        <f t="shared" si="86"/>
        <v>-1541</v>
      </c>
      <c r="P128" s="541">
        <f t="shared" si="86"/>
        <v>-388</v>
      </c>
      <c r="Q128" s="560">
        <f>AVERAGE(Tabuľka157[[#This Row],[2013]:[2022]])</f>
        <v>-326.7</v>
      </c>
      <c r="R128" s="25"/>
      <c r="S128" s="25"/>
      <c r="T128" s="25"/>
      <c r="U128" s="25"/>
      <c r="V128" s="25"/>
      <c r="W128" s="25"/>
      <c r="X128" s="25"/>
      <c r="Y128" s="25"/>
      <c r="Z128" s="25"/>
      <c r="AA128" s="25"/>
      <c r="AB128" s="25"/>
    </row>
    <row r="129" spans="2:28">
      <c r="B129" s="539" t="s">
        <v>799</v>
      </c>
      <c r="C129" s="539" t="s">
        <v>41</v>
      </c>
      <c r="D129" s="539" t="s">
        <v>34</v>
      </c>
      <c r="E129" s="540" t="s">
        <v>817</v>
      </c>
      <c r="F129" s="541"/>
      <c r="G129" s="541">
        <f t="shared" ref="G129:P129" si="87">G61-F61</f>
        <v>147</v>
      </c>
      <c r="H129" s="541">
        <f t="shared" si="87"/>
        <v>172</v>
      </c>
      <c r="I129" s="541">
        <f t="shared" si="87"/>
        <v>111</v>
      </c>
      <c r="J129" s="541">
        <f t="shared" si="87"/>
        <v>152</v>
      </c>
      <c r="K129" s="541">
        <f t="shared" si="87"/>
        <v>120</v>
      </c>
      <c r="L129" s="541">
        <f t="shared" si="87"/>
        <v>104</v>
      </c>
      <c r="M129" s="541">
        <f t="shared" si="87"/>
        <v>137</v>
      </c>
      <c r="N129" s="541">
        <f t="shared" si="87"/>
        <v>122</v>
      </c>
      <c r="O129" s="541">
        <f t="shared" si="87"/>
        <v>47</v>
      </c>
      <c r="P129" s="541">
        <f t="shared" si="87"/>
        <v>164</v>
      </c>
      <c r="Q129" s="560">
        <f>AVERAGE(Tabuľka157[[#This Row],[2013]:[2022]])</f>
        <v>127.6</v>
      </c>
      <c r="R129" s="25"/>
      <c r="S129" s="25"/>
      <c r="T129" s="25"/>
      <c r="U129" s="25"/>
      <c r="V129" s="25"/>
      <c r="W129" s="25"/>
      <c r="X129" s="25"/>
      <c r="Y129" s="25"/>
      <c r="Z129" s="25"/>
      <c r="AA129" s="25"/>
      <c r="AB129" s="25"/>
    </row>
    <row r="130" spans="2:28">
      <c r="B130" s="539" t="s">
        <v>800</v>
      </c>
      <c r="C130" s="539" t="s">
        <v>41</v>
      </c>
      <c r="D130" s="539" t="s">
        <v>28</v>
      </c>
      <c r="E130" s="540" t="s">
        <v>826</v>
      </c>
      <c r="F130" s="541"/>
      <c r="G130" s="541">
        <f t="shared" ref="G130:P130" si="88">G62-F62</f>
        <v>-98</v>
      </c>
      <c r="H130" s="541">
        <f t="shared" si="88"/>
        <v>-39</v>
      </c>
      <c r="I130" s="541">
        <f t="shared" si="88"/>
        <v>-36</v>
      </c>
      <c r="J130" s="541">
        <f t="shared" si="88"/>
        <v>-37</v>
      </c>
      <c r="K130" s="541">
        <f t="shared" si="88"/>
        <v>-75</v>
      </c>
      <c r="L130" s="541">
        <f t="shared" si="88"/>
        <v>-89</v>
      </c>
      <c r="M130" s="541">
        <f t="shared" si="88"/>
        <v>-16</v>
      </c>
      <c r="N130" s="541">
        <f t="shared" si="88"/>
        <v>-69</v>
      </c>
      <c r="O130" s="541">
        <f t="shared" si="88"/>
        <v>6</v>
      </c>
      <c r="P130" s="541">
        <f t="shared" si="88"/>
        <v>-56</v>
      </c>
      <c r="Q130" s="560">
        <f>AVERAGE(Tabuľka157[[#This Row],[2013]:[2022]])</f>
        <v>-50.9</v>
      </c>
      <c r="R130" s="25"/>
      <c r="S130" s="25"/>
      <c r="T130" s="25"/>
      <c r="U130" s="25"/>
      <c r="V130" s="25"/>
      <c r="W130" s="25"/>
      <c r="X130" s="25"/>
      <c r="Y130" s="25"/>
      <c r="Z130" s="25"/>
      <c r="AA130" s="25"/>
      <c r="AB130" s="25"/>
    </row>
    <row r="131" spans="2:28">
      <c r="B131" s="539" t="s">
        <v>801</v>
      </c>
      <c r="C131" s="539" t="s">
        <v>41</v>
      </c>
      <c r="D131" s="539" t="s">
        <v>34</v>
      </c>
      <c r="E131" s="540" t="s">
        <v>827</v>
      </c>
      <c r="F131" s="541"/>
      <c r="G131" s="541">
        <f t="shared" ref="G131:P131" si="89">G63-F63</f>
        <v>-116</v>
      </c>
      <c r="H131" s="541">
        <f t="shared" si="89"/>
        <v>-143</v>
      </c>
      <c r="I131" s="541">
        <f t="shared" si="89"/>
        <v>-136</v>
      </c>
      <c r="J131" s="541">
        <f t="shared" si="89"/>
        <v>-80</v>
      </c>
      <c r="K131" s="541">
        <f t="shared" si="89"/>
        <v>-93</v>
      </c>
      <c r="L131" s="541">
        <f t="shared" si="89"/>
        <v>-124</v>
      </c>
      <c r="M131" s="541">
        <f t="shared" si="89"/>
        <v>-220</v>
      </c>
      <c r="N131" s="541">
        <f t="shared" si="89"/>
        <v>-166</v>
      </c>
      <c r="O131" s="541">
        <f t="shared" si="89"/>
        <v>-1124</v>
      </c>
      <c r="P131" s="541">
        <f t="shared" si="89"/>
        <v>-253</v>
      </c>
      <c r="Q131" s="560">
        <f>AVERAGE(Tabuľka157[[#This Row],[2013]:[2022]])</f>
        <v>-245.5</v>
      </c>
      <c r="R131" s="25"/>
      <c r="S131" s="25"/>
      <c r="T131" s="25"/>
      <c r="U131" s="25"/>
      <c r="V131" s="25"/>
      <c r="W131" s="25"/>
      <c r="X131" s="25"/>
      <c r="Y131" s="25"/>
      <c r="Z131" s="25"/>
      <c r="AA131" s="25"/>
      <c r="AB131" s="25"/>
    </row>
    <row r="132" spans="2:28">
      <c r="B132" s="539" t="s">
        <v>802</v>
      </c>
      <c r="C132" s="539" t="s">
        <v>41</v>
      </c>
      <c r="D132" s="539" t="s">
        <v>26</v>
      </c>
      <c r="E132" s="540" t="s">
        <v>56</v>
      </c>
      <c r="F132" s="541"/>
      <c r="G132" s="541">
        <f t="shared" ref="G132:P132" si="90">G64-F64</f>
        <v>19</v>
      </c>
      <c r="H132" s="541">
        <f t="shared" si="90"/>
        <v>2</v>
      </c>
      <c r="I132" s="541">
        <f t="shared" si="90"/>
        <v>79</v>
      </c>
      <c r="J132" s="541">
        <f t="shared" si="90"/>
        <v>4</v>
      </c>
      <c r="K132" s="541">
        <f t="shared" si="90"/>
        <v>11</v>
      </c>
      <c r="L132" s="541">
        <f t="shared" si="90"/>
        <v>2</v>
      </c>
      <c r="M132" s="541">
        <f t="shared" si="90"/>
        <v>-14</v>
      </c>
      <c r="N132" s="541">
        <f t="shared" si="90"/>
        <v>-17</v>
      </c>
      <c r="O132" s="541">
        <f t="shared" si="90"/>
        <v>-251</v>
      </c>
      <c r="P132" s="541">
        <f t="shared" si="90"/>
        <v>-56</v>
      </c>
      <c r="Q132" s="560">
        <f>AVERAGE(Tabuľka157[[#This Row],[2013]:[2022]])</f>
        <v>-22.1</v>
      </c>
      <c r="R132" s="25"/>
      <c r="S132" s="25"/>
      <c r="T132" s="25"/>
      <c r="U132" s="25"/>
      <c r="V132" s="25"/>
      <c r="W132" s="25"/>
      <c r="X132" s="25"/>
      <c r="Y132" s="25"/>
      <c r="Z132" s="25"/>
      <c r="AA132" s="25"/>
      <c r="AB132" s="25"/>
    </row>
    <row r="133" spans="2:28">
      <c r="B133" s="539" t="s">
        <v>803</v>
      </c>
      <c r="C133" s="539" t="s">
        <v>41</v>
      </c>
      <c r="D133" s="539" t="s">
        <v>34</v>
      </c>
      <c r="E133" s="540" t="s">
        <v>35</v>
      </c>
      <c r="F133" s="541"/>
      <c r="G133" s="541">
        <f t="shared" ref="G133:P133" si="91">G65-F65</f>
        <v>-45</v>
      </c>
      <c r="H133" s="541">
        <f t="shared" si="91"/>
        <v>-45</v>
      </c>
      <c r="I133" s="541">
        <f t="shared" si="91"/>
        <v>-26</v>
      </c>
      <c r="J133" s="541">
        <f t="shared" si="91"/>
        <v>-18</v>
      </c>
      <c r="K133" s="541">
        <f t="shared" si="91"/>
        <v>1</v>
      </c>
      <c r="L133" s="541">
        <f t="shared" si="91"/>
        <v>-28</v>
      </c>
      <c r="M133" s="541">
        <f t="shared" si="91"/>
        <v>-33</v>
      </c>
      <c r="N133" s="541">
        <f t="shared" si="91"/>
        <v>-6</v>
      </c>
      <c r="O133" s="541">
        <f t="shared" si="91"/>
        <v>-152</v>
      </c>
      <c r="P133" s="541">
        <f t="shared" si="91"/>
        <v>-13</v>
      </c>
      <c r="Q133" s="560">
        <f>AVERAGE(Tabuľka157[[#This Row],[2013]:[2022]])</f>
        <v>-36.5</v>
      </c>
      <c r="R133" s="25"/>
      <c r="S133" s="25"/>
      <c r="T133" s="25"/>
      <c r="U133" s="25"/>
      <c r="V133" s="25"/>
      <c r="W133" s="25"/>
      <c r="X133" s="27"/>
      <c r="Y133" s="27"/>
      <c r="Z133" s="25"/>
      <c r="AA133" s="27"/>
      <c r="AB133" s="25"/>
    </row>
    <row r="134" spans="2:28">
      <c r="B134" s="539" t="s">
        <v>804</v>
      </c>
      <c r="C134" s="539" t="s">
        <v>41</v>
      </c>
      <c r="D134" s="539" t="s">
        <v>30</v>
      </c>
      <c r="E134" s="540" t="s">
        <v>32</v>
      </c>
      <c r="F134" s="541"/>
      <c r="G134" s="541">
        <f t="shared" ref="G134:P134" si="92">G66-F66</f>
        <v>-142</v>
      </c>
      <c r="H134" s="541">
        <f t="shared" si="92"/>
        <v>-89</v>
      </c>
      <c r="I134" s="541">
        <f t="shared" si="92"/>
        <v>-188</v>
      </c>
      <c r="J134" s="541">
        <f t="shared" si="92"/>
        <v>-69</v>
      </c>
      <c r="K134" s="541">
        <f t="shared" si="92"/>
        <v>-113</v>
      </c>
      <c r="L134" s="541">
        <f t="shared" si="92"/>
        <v>-105</v>
      </c>
      <c r="M134" s="541">
        <f t="shared" si="92"/>
        <v>-231</v>
      </c>
      <c r="N134" s="541">
        <f t="shared" si="92"/>
        <v>-183</v>
      </c>
      <c r="O134" s="541">
        <f t="shared" si="92"/>
        <v>-1423</v>
      </c>
      <c r="P134" s="541">
        <f t="shared" si="92"/>
        <v>-214</v>
      </c>
      <c r="Q134" s="560">
        <f>AVERAGE(Tabuľka157[[#This Row],[2013]:[2022]])</f>
        <v>-275.7</v>
      </c>
      <c r="R134" s="25"/>
      <c r="S134" s="25"/>
      <c r="T134" s="25"/>
      <c r="U134" s="25"/>
      <c r="V134" s="25"/>
      <c r="W134" s="25"/>
      <c r="X134" s="25"/>
      <c r="Y134" s="25"/>
      <c r="Z134" s="25"/>
      <c r="AA134" s="25"/>
      <c r="AB134" s="25"/>
    </row>
    <row r="135" spans="2:28">
      <c r="B135" s="539" t="s">
        <v>54</v>
      </c>
      <c r="C135" s="539" t="s">
        <v>41</v>
      </c>
      <c r="D135" s="539" t="s">
        <v>26</v>
      </c>
      <c r="E135" s="540" t="s">
        <v>828</v>
      </c>
      <c r="F135" s="541"/>
      <c r="G135" s="541">
        <f t="shared" ref="G135:P135" si="93">G67-F67</f>
        <v>-109</v>
      </c>
      <c r="H135" s="541">
        <f t="shared" si="93"/>
        <v>-118</v>
      </c>
      <c r="I135" s="541">
        <f t="shared" si="93"/>
        <v>-41</v>
      </c>
      <c r="J135" s="541">
        <f t="shared" si="93"/>
        <v>-73</v>
      </c>
      <c r="K135" s="541">
        <f t="shared" si="93"/>
        <v>-63</v>
      </c>
      <c r="L135" s="541">
        <f t="shared" si="93"/>
        <v>-168</v>
      </c>
      <c r="M135" s="541">
        <f t="shared" si="93"/>
        <v>-83</v>
      </c>
      <c r="N135" s="541">
        <f t="shared" si="93"/>
        <v>-341</v>
      </c>
      <c r="O135" s="541">
        <f t="shared" si="93"/>
        <v>1554</v>
      </c>
      <c r="P135" s="541">
        <f t="shared" si="93"/>
        <v>-721</v>
      </c>
      <c r="Q135" s="560">
        <f>AVERAGE(Tabuľka157[[#This Row],[2013]:[2022]])</f>
        <v>-16.3</v>
      </c>
      <c r="R135" s="25"/>
      <c r="S135" s="25"/>
      <c r="T135" s="25"/>
      <c r="U135" s="25"/>
      <c r="V135" s="25"/>
      <c r="W135" s="25"/>
      <c r="X135" s="25"/>
      <c r="Y135" s="25"/>
      <c r="Z135" s="25"/>
      <c r="AA135" s="25"/>
      <c r="AB135" s="25"/>
    </row>
    <row r="136" spans="2:28">
      <c r="B136" s="539" t="s">
        <v>805</v>
      </c>
      <c r="C136" s="539" t="s">
        <v>41</v>
      </c>
      <c r="D136" s="539" t="s">
        <v>28</v>
      </c>
      <c r="E136" s="540" t="s">
        <v>826</v>
      </c>
      <c r="F136" s="541"/>
      <c r="G136" s="541">
        <f t="shared" ref="G136:P136" si="94">G68-F68</f>
        <v>-143</v>
      </c>
      <c r="H136" s="541">
        <f t="shared" si="94"/>
        <v>-152</v>
      </c>
      <c r="I136" s="541">
        <f t="shared" si="94"/>
        <v>-68</v>
      </c>
      <c r="J136" s="541">
        <f t="shared" si="94"/>
        <v>-131</v>
      </c>
      <c r="K136" s="541">
        <f t="shared" si="94"/>
        <v>-73</v>
      </c>
      <c r="L136" s="541">
        <f t="shared" si="94"/>
        <v>-118</v>
      </c>
      <c r="M136" s="541">
        <f t="shared" si="94"/>
        <v>-90</v>
      </c>
      <c r="N136" s="541">
        <f t="shared" si="94"/>
        <v>-147</v>
      </c>
      <c r="O136" s="541">
        <f t="shared" si="94"/>
        <v>583</v>
      </c>
      <c r="P136" s="541">
        <f t="shared" si="94"/>
        <v>9</v>
      </c>
      <c r="Q136" s="560">
        <f>AVERAGE(Tabuľka157[[#This Row],[2013]:[2022]])</f>
        <v>-33</v>
      </c>
      <c r="R136" s="25"/>
      <c r="S136" s="25"/>
      <c r="T136" s="25"/>
      <c r="U136" s="25"/>
      <c r="V136" s="25"/>
      <c r="W136" s="25"/>
      <c r="X136" s="27"/>
      <c r="Y136" s="27"/>
      <c r="Z136" s="25"/>
      <c r="AA136" s="27"/>
      <c r="AB136" s="25"/>
    </row>
    <row r="137" spans="2:28">
      <c r="B137" s="539" t="s">
        <v>42</v>
      </c>
      <c r="C137" s="539" t="s">
        <v>41</v>
      </c>
      <c r="D137" s="539" t="s">
        <v>30</v>
      </c>
      <c r="E137" s="540" t="s">
        <v>32</v>
      </c>
      <c r="F137" s="541"/>
      <c r="G137" s="541">
        <f t="shared" ref="G137:P137" si="95">G69-F69</f>
        <v>-48</v>
      </c>
      <c r="H137" s="541">
        <f t="shared" si="95"/>
        <v>-53</v>
      </c>
      <c r="I137" s="541">
        <f t="shared" si="95"/>
        <v>-179</v>
      </c>
      <c r="J137" s="541">
        <f t="shared" si="95"/>
        <v>-180</v>
      </c>
      <c r="K137" s="541">
        <f t="shared" si="95"/>
        <v>-212</v>
      </c>
      <c r="L137" s="541">
        <f t="shared" si="95"/>
        <v>-155</v>
      </c>
      <c r="M137" s="541">
        <f t="shared" si="95"/>
        <v>-154</v>
      </c>
      <c r="N137" s="541">
        <f t="shared" si="95"/>
        <v>-75</v>
      </c>
      <c r="O137" s="541">
        <f t="shared" si="95"/>
        <v>-1853</v>
      </c>
      <c r="P137" s="541">
        <f t="shared" si="95"/>
        <v>-395</v>
      </c>
      <c r="Q137" s="560">
        <f>AVERAGE(Tabuľka157[[#This Row],[2013]:[2022]])</f>
        <v>-330.4</v>
      </c>
      <c r="R137" s="553"/>
      <c r="S137" s="553"/>
      <c r="T137" s="553"/>
      <c r="U137" s="553"/>
      <c r="V137" s="553"/>
      <c r="W137" s="553"/>
      <c r="X137" s="554"/>
      <c r="Y137" s="554"/>
      <c r="Z137" s="553"/>
      <c r="AA137" s="554"/>
      <c r="AB137" s="553"/>
    </row>
    <row r="139" spans="2:28">
      <c r="B139" s="535" t="s">
        <v>214</v>
      </c>
      <c r="C139" s="536" t="s">
        <v>12</v>
      </c>
      <c r="D139" s="536" t="s">
        <v>13</v>
      </c>
      <c r="E139" s="536" t="s">
        <v>207</v>
      </c>
      <c r="F139" s="536" t="s">
        <v>299</v>
      </c>
      <c r="G139" s="536" t="s">
        <v>300</v>
      </c>
      <c r="H139" s="536" t="s">
        <v>301</v>
      </c>
      <c r="I139" s="536" t="s">
        <v>302</v>
      </c>
      <c r="J139" s="536" t="s">
        <v>303</v>
      </c>
      <c r="K139" s="536" t="s">
        <v>304</v>
      </c>
      <c r="L139" s="536" t="s">
        <v>305</v>
      </c>
      <c r="M139" s="536" t="s">
        <v>306</v>
      </c>
      <c r="N139" s="536" t="s">
        <v>307</v>
      </c>
      <c r="O139" s="536" t="s">
        <v>308</v>
      </c>
      <c r="P139" s="536" t="s">
        <v>309</v>
      </c>
      <c r="Q139" s="538" t="s">
        <v>153</v>
      </c>
      <c r="R139" s="537" t="s">
        <v>340</v>
      </c>
      <c r="S139" s="537" t="s">
        <v>341</v>
      </c>
      <c r="T139" s="537" t="s">
        <v>342</v>
      </c>
      <c r="U139" s="537" t="s">
        <v>343</v>
      </c>
      <c r="V139" s="537" t="s">
        <v>344</v>
      </c>
      <c r="W139" s="537" t="s">
        <v>345</v>
      </c>
      <c r="X139" s="537" t="s">
        <v>346</v>
      </c>
      <c r="Y139" s="537" t="s">
        <v>347</v>
      </c>
      <c r="Z139" s="537" t="s">
        <v>348</v>
      </c>
      <c r="AA139" s="537" t="s">
        <v>349</v>
      </c>
      <c r="AB139" s="537" t="s">
        <v>350</v>
      </c>
    </row>
    <row r="140" spans="2:28">
      <c r="B140" s="539" t="s">
        <v>758</v>
      </c>
      <c r="C140" s="539" t="s">
        <v>41</v>
      </c>
      <c r="D140" s="539" t="s">
        <v>23</v>
      </c>
      <c r="E140" s="540" t="s">
        <v>24</v>
      </c>
      <c r="F140" s="541"/>
      <c r="G140" s="555">
        <f t="shared" ref="G140:P140" si="96">G73/F5</f>
        <v>-9.8328416912487702E-3</v>
      </c>
      <c r="H140" s="555">
        <f t="shared" si="96"/>
        <v>-1.0453143782992735E-2</v>
      </c>
      <c r="I140" s="555">
        <f t="shared" si="96"/>
        <v>-5.8099614429831508E-3</v>
      </c>
      <c r="J140" s="555">
        <f t="shared" si="96"/>
        <v>-1.1528449237634809E-2</v>
      </c>
      <c r="K140" s="555">
        <f t="shared" si="96"/>
        <v>-1.3759002472320757E-2</v>
      </c>
      <c r="L140" s="555">
        <f t="shared" si="96"/>
        <v>-1.4604904632152589E-2</v>
      </c>
      <c r="M140" s="555">
        <f t="shared" si="96"/>
        <v>-1.8360800796372083E-2</v>
      </c>
      <c r="N140" s="555">
        <f t="shared" si="96"/>
        <v>-1.8760563380281689E-2</v>
      </c>
      <c r="O140" s="555">
        <f t="shared" si="96"/>
        <v>-2.7214790147556983E-2</v>
      </c>
      <c r="P140" s="555">
        <f t="shared" si="96"/>
        <v>-1.9418048751696865E-2</v>
      </c>
      <c r="Q140" s="556">
        <f>AVERAGE(Tabuľka1578[[#This Row],[2013]:[2022]])</f>
        <v>-1.4974250633524042E-2</v>
      </c>
      <c r="R140" s="556">
        <f>Tabuľka1578[[#This Row],[Priemer]]</f>
        <v>-1.4974250633524042E-2</v>
      </c>
      <c r="S140" s="556">
        <f>Tabuľka1578[[#This Row],[2023]]</f>
        <v>-1.4974250633524042E-2</v>
      </c>
      <c r="T140" s="556">
        <f>Tabuľka1578[[#This Row],[2024]]</f>
        <v>-1.4974250633524042E-2</v>
      </c>
      <c r="U140" s="556">
        <f>Tabuľka1578[[#This Row],[2025]]</f>
        <v>-1.4974250633524042E-2</v>
      </c>
      <c r="V140" s="556">
        <f>Tabuľka1578[[#This Row],[2026]]</f>
        <v>-1.4974250633524042E-2</v>
      </c>
      <c r="W140" s="556">
        <f>Tabuľka1578[[#This Row],[2027]]</f>
        <v>-1.4974250633524042E-2</v>
      </c>
      <c r="X140" s="556">
        <f>Tabuľka1578[[#This Row],[2028]]</f>
        <v>-1.4974250633524042E-2</v>
      </c>
      <c r="Y140" s="556">
        <f>Tabuľka1578[[#This Row],[2029]]</f>
        <v>-1.4974250633524042E-2</v>
      </c>
      <c r="Z140" s="556">
        <f>Tabuľka1578[[#This Row],[2030]]</f>
        <v>-1.4974250633524042E-2</v>
      </c>
      <c r="AA140" s="556">
        <f>Tabuľka1578[[#This Row],[2031]]</f>
        <v>-1.4974250633524042E-2</v>
      </c>
      <c r="AB140" s="556">
        <f>Tabuľka1578[[#This Row],[2032]]</f>
        <v>-1.4974250633524042E-2</v>
      </c>
    </row>
    <row r="141" spans="2:28">
      <c r="B141" s="539" t="s">
        <v>40</v>
      </c>
      <c r="C141" s="539" t="s">
        <v>41</v>
      </c>
      <c r="D141" s="539" t="s">
        <v>30</v>
      </c>
      <c r="E141" s="540" t="s">
        <v>99</v>
      </c>
      <c r="F141" s="546"/>
      <c r="G141" s="555">
        <f t="shared" ref="G141:P141" si="97">G74/F6</f>
        <v>-2.7015819961549578E-3</v>
      </c>
      <c r="H141" s="555">
        <f t="shared" si="97"/>
        <v>-4.2964418909384131E-3</v>
      </c>
      <c r="I141" s="555">
        <f t="shared" si="97"/>
        <v>-3.4038999329343137E-3</v>
      </c>
      <c r="J141" s="555">
        <f t="shared" si="97"/>
        <v>-1.5617461083318521E-3</v>
      </c>
      <c r="K141" s="555">
        <f t="shared" si="97"/>
        <v>-1.9202645132574553E-3</v>
      </c>
      <c r="L141" s="555">
        <f t="shared" si="97"/>
        <v>-2.0004077264155753E-3</v>
      </c>
      <c r="M141" s="555">
        <f t="shared" si="97"/>
        <v>-3.1023784901758012E-3</v>
      </c>
      <c r="N141" s="555">
        <f t="shared" si="97"/>
        <v>-4.6744531530147019E-3</v>
      </c>
      <c r="O141" s="555">
        <f t="shared" si="97"/>
        <v>-3.0906213409848299E-2</v>
      </c>
      <c r="P141" s="555">
        <f t="shared" si="97"/>
        <v>-9.6525352841987863E-3</v>
      </c>
      <c r="Q141" s="557">
        <f>AVERAGE(Tabuľka1578[[#This Row],[2013]:[2022]])</f>
        <v>-6.4219922505270146E-3</v>
      </c>
      <c r="R141" s="522">
        <f>Tabuľka1578[[#This Row],[Priemer]]</f>
        <v>-6.4219922505270146E-3</v>
      </c>
      <c r="S141" s="522">
        <f>Tabuľka1578[[#This Row],[2023]]</f>
        <v>-6.4219922505270146E-3</v>
      </c>
      <c r="T141" s="522">
        <f>Tabuľka1578[[#This Row],[2024]]</f>
        <v>-6.4219922505270146E-3</v>
      </c>
      <c r="U141" s="522">
        <f>Tabuľka1578[[#This Row],[2025]]</f>
        <v>-6.4219922505270146E-3</v>
      </c>
      <c r="V141" s="522">
        <f>Tabuľka1578[[#This Row],[2026]]</f>
        <v>-6.4219922505270146E-3</v>
      </c>
      <c r="W141" s="522">
        <f>Tabuľka1578[[#This Row],[2027]]</f>
        <v>-6.4219922505270146E-3</v>
      </c>
      <c r="X141" s="522">
        <f>Tabuľka1578[[#This Row],[2028]]</f>
        <v>-6.4219922505270146E-3</v>
      </c>
      <c r="Y141" s="522">
        <f>Tabuľka1578[[#This Row],[2029]]</f>
        <v>-6.4219922505270146E-3</v>
      </c>
      <c r="Z141" s="522">
        <f>Tabuľka1578[[#This Row],[2030]]</f>
        <v>-6.4219922505270146E-3</v>
      </c>
      <c r="AA141" s="522">
        <f>Tabuľka1578[[#This Row],[2031]]</f>
        <v>-6.4219922505270146E-3</v>
      </c>
      <c r="AB141" s="522">
        <f>Tabuľka1578[[#This Row],[2032]]</f>
        <v>-6.4219922505270146E-3</v>
      </c>
    </row>
    <row r="142" spans="2:28">
      <c r="B142" s="539" t="s">
        <v>59</v>
      </c>
      <c r="C142" s="539" t="s">
        <v>41</v>
      </c>
      <c r="D142" s="539" t="s">
        <v>34</v>
      </c>
      <c r="E142" s="540" t="s">
        <v>36</v>
      </c>
      <c r="F142" s="546"/>
      <c r="G142" s="555">
        <f t="shared" ref="G142:P142" si="98">G75/F7</f>
        <v>-4.6336432393650415E-3</v>
      </c>
      <c r="H142" s="555">
        <f t="shared" si="98"/>
        <v>-7.0879384911100435E-3</v>
      </c>
      <c r="I142" s="555">
        <f t="shared" si="98"/>
        <v>-4.4767090139140953E-3</v>
      </c>
      <c r="J142" s="555">
        <f t="shared" si="98"/>
        <v>-6.4718035974720466E-3</v>
      </c>
      <c r="K142" s="555">
        <f t="shared" si="98"/>
        <v>-3.4251811982017799E-3</v>
      </c>
      <c r="L142" s="555">
        <f t="shared" si="98"/>
        <v>-4.2348175652867706E-3</v>
      </c>
      <c r="M142" s="555">
        <f t="shared" si="98"/>
        <v>-4.8075441461986499E-3</v>
      </c>
      <c r="N142" s="555">
        <f t="shared" si="98"/>
        <v>-6.0074938841234941E-3</v>
      </c>
      <c r="O142" s="555">
        <f t="shared" si="98"/>
        <v>-4.7353500109037668E-2</v>
      </c>
      <c r="P142" s="555">
        <f t="shared" si="98"/>
        <v>-1.0203080545472382E-2</v>
      </c>
      <c r="Q142" s="557">
        <f>AVERAGE(Tabuľka1578[[#This Row],[2013]:[2022]])</f>
        <v>-9.8701711790181966E-3</v>
      </c>
      <c r="R142" s="522">
        <f>Tabuľka1578[[#This Row],[Priemer]]</f>
        <v>-9.8701711790181966E-3</v>
      </c>
      <c r="S142" s="522">
        <f>Tabuľka1578[[#This Row],[2023]]</f>
        <v>-9.8701711790181966E-3</v>
      </c>
      <c r="T142" s="522">
        <f>Tabuľka1578[[#This Row],[2024]]</f>
        <v>-9.8701711790181966E-3</v>
      </c>
      <c r="U142" s="522">
        <f>Tabuľka1578[[#This Row],[2025]]</f>
        <v>-9.8701711790181966E-3</v>
      </c>
      <c r="V142" s="522">
        <f>Tabuľka1578[[#This Row],[2026]]</f>
        <v>-9.8701711790181966E-3</v>
      </c>
      <c r="W142" s="522">
        <f>Tabuľka1578[[#This Row],[2027]]</f>
        <v>-9.8701711790181966E-3</v>
      </c>
      <c r="X142" s="522">
        <f>Tabuľka1578[[#This Row],[2028]]</f>
        <v>-9.8701711790181966E-3</v>
      </c>
      <c r="Y142" s="522">
        <f>Tabuľka1578[[#This Row],[2029]]</f>
        <v>-9.8701711790181966E-3</v>
      </c>
      <c r="Z142" s="522">
        <f>Tabuľka1578[[#This Row],[2030]]</f>
        <v>-9.8701711790181966E-3</v>
      </c>
      <c r="AA142" s="522">
        <f>Tabuľka1578[[#This Row],[2031]]</f>
        <v>-9.8701711790181966E-3</v>
      </c>
      <c r="AB142" s="522">
        <f>Tabuľka1578[[#This Row],[2032]]</f>
        <v>-9.8701711790181966E-3</v>
      </c>
    </row>
    <row r="143" spans="2:28">
      <c r="B143" s="539" t="s">
        <v>759</v>
      </c>
      <c r="C143" s="539" t="s">
        <v>41</v>
      </c>
      <c r="D143" s="539" t="s">
        <v>23</v>
      </c>
      <c r="E143" s="540" t="s">
        <v>24</v>
      </c>
      <c r="F143" s="546"/>
      <c r="G143" s="555">
        <f t="shared" ref="G143:P143" si="99">G76/F8</f>
        <v>-8.1218274111675124E-4</v>
      </c>
      <c r="H143" s="555">
        <f t="shared" si="99"/>
        <v>-4.2674253200568994E-3</v>
      </c>
      <c r="I143" s="555">
        <f t="shared" si="99"/>
        <v>8.3673469387755099E-3</v>
      </c>
      <c r="J143" s="555">
        <f t="shared" si="99"/>
        <v>-3.8453754300748835E-3</v>
      </c>
      <c r="K143" s="555">
        <f t="shared" si="99"/>
        <v>2.4380333197887038E-3</v>
      </c>
      <c r="L143" s="555">
        <f t="shared" si="99"/>
        <v>3.6481556546412645E-3</v>
      </c>
      <c r="M143" s="555">
        <f t="shared" si="99"/>
        <v>8.0775444264943458E-3</v>
      </c>
      <c r="N143" s="555">
        <f t="shared" si="99"/>
        <v>6.0096153846153849E-3</v>
      </c>
      <c r="O143" s="555">
        <f t="shared" si="99"/>
        <v>-7.7658303464755076E-3</v>
      </c>
      <c r="P143" s="555">
        <f t="shared" si="99"/>
        <v>1.0435480634156131E-2</v>
      </c>
      <c r="Q143" s="557">
        <f>AVERAGE(Tabuľka1578[[#This Row],[2013]:[2022]])</f>
        <v>2.2285362520747297E-3</v>
      </c>
      <c r="R143" s="522">
        <f>Tabuľka1578[[#This Row],[Priemer]]</f>
        <v>2.2285362520747297E-3</v>
      </c>
      <c r="S143" s="522">
        <f>Tabuľka1578[[#This Row],[2023]]</f>
        <v>2.2285362520747297E-3</v>
      </c>
      <c r="T143" s="522">
        <f>Tabuľka1578[[#This Row],[2024]]</f>
        <v>2.2285362520747297E-3</v>
      </c>
      <c r="U143" s="522">
        <f>Tabuľka1578[[#This Row],[2025]]</f>
        <v>2.2285362520747297E-3</v>
      </c>
      <c r="V143" s="522">
        <f>Tabuľka1578[[#This Row],[2026]]</f>
        <v>2.2285362520747297E-3</v>
      </c>
      <c r="W143" s="522">
        <f>Tabuľka1578[[#This Row],[2027]]</f>
        <v>2.2285362520747297E-3</v>
      </c>
      <c r="X143" s="522">
        <f>Tabuľka1578[[#This Row],[2028]]</f>
        <v>2.2285362520747297E-3</v>
      </c>
      <c r="Y143" s="522">
        <f>Tabuľka1578[[#This Row],[2029]]</f>
        <v>2.2285362520747297E-3</v>
      </c>
      <c r="Z143" s="522">
        <f>Tabuľka1578[[#This Row],[2030]]</f>
        <v>2.2285362520747297E-3</v>
      </c>
      <c r="AA143" s="522">
        <f>Tabuľka1578[[#This Row],[2031]]</f>
        <v>2.2285362520747297E-3</v>
      </c>
      <c r="AB143" s="522">
        <f>Tabuľka1578[[#This Row],[2032]]</f>
        <v>2.2285362520747297E-3</v>
      </c>
    </row>
    <row r="144" spans="2:28">
      <c r="B144" s="539" t="s">
        <v>43</v>
      </c>
      <c r="C144" s="539" t="s">
        <v>41</v>
      </c>
      <c r="D144" s="539" t="s">
        <v>18</v>
      </c>
      <c r="E144" s="540" t="s">
        <v>807</v>
      </c>
      <c r="F144" s="546"/>
      <c r="G144" s="555">
        <f t="shared" ref="G144:P144" si="100">G77/F9</f>
        <v>4.3312022214254953E-3</v>
      </c>
      <c r="H144" s="555">
        <f t="shared" si="100"/>
        <v>5.4840927767622052E-3</v>
      </c>
      <c r="I144" s="555">
        <f t="shared" si="100"/>
        <v>7.7535634462611814E-3</v>
      </c>
      <c r="J144" s="555">
        <f t="shared" si="100"/>
        <v>7.0720588652549345E-3</v>
      </c>
      <c r="K144" s="555">
        <f t="shared" si="100"/>
        <v>8.5484935070423533E-3</v>
      </c>
      <c r="L144" s="555">
        <f t="shared" si="100"/>
        <v>7.6822080062575078E-3</v>
      </c>
      <c r="M144" s="555">
        <f t="shared" si="100"/>
        <v>1.1232165299031566E-2</v>
      </c>
      <c r="N144" s="555">
        <f t="shared" si="100"/>
        <v>7.3607690655798372E-3</v>
      </c>
      <c r="O144" s="555">
        <f t="shared" si="100"/>
        <v>7.8533069659007415E-2</v>
      </c>
      <c r="P144" s="555">
        <f t="shared" si="100"/>
        <v>2.8281434972675296E-3</v>
      </c>
      <c r="Q144" s="558">
        <f>AVERAGE(Tabuľka1578[[#This Row],[2013]:[2022]])</f>
        <v>1.4082576634389003E-2</v>
      </c>
      <c r="R144" s="522">
        <f>Tabuľka1578[[#This Row],[Priemer]]</f>
        <v>1.4082576634389003E-2</v>
      </c>
      <c r="S144" s="522">
        <f>Tabuľka1578[[#This Row],[2023]]</f>
        <v>1.4082576634389003E-2</v>
      </c>
      <c r="T144" s="522">
        <f>Tabuľka1578[[#This Row],[2024]]</f>
        <v>1.4082576634389003E-2</v>
      </c>
      <c r="U144" s="522">
        <f>Tabuľka1578[[#This Row],[2025]]</f>
        <v>1.4082576634389003E-2</v>
      </c>
      <c r="V144" s="522">
        <f>Tabuľka1578[[#This Row],[2026]]</f>
        <v>1.4082576634389003E-2</v>
      </c>
      <c r="W144" s="522">
        <f>Tabuľka1578[[#This Row],[2027]]</f>
        <v>1.4082576634389003E-2</v>
      </c>
      <c r="X144" s="522">
        <f>Tabuľka1578[[#This Row],[2028]]</f>
        <v>1.4082576634389003E-2</v>
      </c>
      <c r="Y144" s="522">
        <f>Tabuľka1578[[#This Row],[2029]]</f>
        <v>1.4082576634389003E-2</v>
      </c>
      <c r="Z144" s="522">
        <f>Tabuľka1578[[#This Row],[2030]]</f>
        <v>1.4082576634389003E-2</v>
      </c>
      <c r="AA144" s="522">
        <f>Tabuľka1578[[#This Row],[2031]]</f>
        <v>1.4082576634389003E-2</v>
      </c>
      <c r="AB144" s="522">
        <f>Tabuľka1578[[#This Row],[2032]]</f>
        <v>1.4082576634389003E-2</v>
      </c>
    </row>
    <row r="145" spans="2:28">
      <c r="B145" s="539" t="s">
        <v>760</v>
      </c>
      <c r="C145" s="539" t="s">
        <v>41</v>
      </c>
      <c r="D145" s="539" t="s">
        <v>30</v>
      </c>
      <c r="E145" s="540" t="s">
        <v>32</v>
      </c>
      <c r="F145" s="546"/>
      <c r="G145" s="555">
        <f t="shared" ref="G145:P145" si="101">G78/F10</f>
        <v>-7.786941897433535E-3</v>
      </c>
      <c r="H145" s="555">
        <f t="shared" si="101"/>
        <v>-9.4269527259217972E-3</v>
      </c>
      <c r="I145" s="555">
        <f t="shared" si="101"/>
        <v>-5.438094791617833E-3</v>
      </c>
      <c r="J145" s="555">
        <f t="shared" si="101"/>
        <v>-3.1581428234739571E-3</v>
      </c>
      <c r="K145" s="555">
        <f t="shared" si="101"/>
        <v>-3.1208624929071308E-3</v>
      </c>
      <c r="L145" s="555">
        <f t="shared" si="101"/>
        <v>-6.1189640451570059E-3</v>
      </c>
      <c r="M145" s="555">
        <f t="shared" si="101"/>
        <v>-3.0544552092779077E-3</v>
      </c>
      <c r="N145" s="555">
        <f t="shared" si="101"/>
        <v>-7.324429125376993E-3</v>
      </c>
      <c r="O145" s="555">
        <f t="shared" si="101"/>
        <v>-3.7615740740740741E-2</v>
      </c>
      <c r="P145" s="555">
        <f t="shared" si="101"/>
        <v>-4.5099218280216478E-3</v>
      </c>
      <c r="Q145" s="557">
        <f>AVERAGE(Tabuľka1578[[#This Row],[2013]:[2022]])</f>
        <v>-8.7554505679928556E-3</v>
      </c>
      <c r="R145" s="522">
        <f>Tabuľka1578[[#This Row],[Priemer]]</f>
        <v>-8.7554505679928556E-3</v>
      </c>
      <c r="S145" s="522">
        <f>Tabuľka1578[[#This Row],[2023]]</f>
        <v>-8.7554505679928556E-3</v>
      </c>
      <c r="T145" s="522">
        <f>Tabuľka1578[[#This Row],[2024]]</f>
        <v>-8.7554505679928556E-3</v>
      </c>
      <c r="U145" s="522">
        <f>Tabuľka1578[[#This Row],[2025]]</f>
        <v>-8.7554505679928556E-3</v>
      </c>
      <c r="V145" s="522">
        <f>Tabuľka1578[[#This Row],[2026]]</f>
        <v>-8.7554505679928556E-3</v>
      </c>
      <c r="W145" s="522">
        <f>Tabuľka1578[[#This Row],[2027]]</f>
        <v>-8.7554505679928556E-3</v>
      </c>
      <c r="X145" s="522">
        <f>Tabuľka1578[[#This Row],[2028]]</f>
        <v>-8.7554505679928556E-3</v>
      </c>
      <c r="Y145" s="522">
        <f>Tabuľka1578[[#This Row],[2029]]</f>
        <v>-8.7554505679928556E-3</v>
      </c>
      <c r="Z145" s="522">
        <f>Tabuľka1578[[#This Row],[2030]]</f>
        <v>-8.7554505679928556E-3</v>
      </c>
      <c r="AA145" s="522">
        <f>Tabuľka1578[[#This Row],[2031]]</f>
        <v>-8.7554505679928556E-3</v>
      </c>
      <c r="AB145" s="522">
        <f>Tabuľka1578[[#This Row],[2032]]</f>
        <v>-8.7554505679928556E-3</v>
      </c>
    </row>
    <row r="146" spans="2:28">
      <c r="B146" s="539" t="s">
        <v>761</v>
      </c>
      <c r="C146" s="539" t="s">
        <v>41</v>
      </c>
      <c r="D146" s="539" t="s">
        <v>26</v>
      </c>
      <c r="E146" s="540" t="s">
        <v>808</v>
      </c>
      <c r="F146" s="541"/>
      <c r="G146" s="555">
        <f t="shared" ref="G146:P146" si="102">G79/F11</f>
        <v>-2.097535395909806E-3</v>
      </c>
      <c r="H146" s="555">
        <f t="shared" si="102"/>
        <v>-2.7891183960548124E-3</v>
      </c>
      <c r="I146" s="555">
        <f t="shared" si="102"/>
        <v>-3.6886907174706121E-3</v>
      </c>
      <c r="J146" s="555">
        <f t="shared" si="102"/>
        <v>-6.0214003824402944E-3</v>
      </c>
      <c r="K146" s="555">
        <f t="shared" si="102"/>
        <v>-4.7480659817445052E-3</v>
      </c>
      <c r="L146" s="555">
        <f t="shared" si="102"/>
        <v>-8.266502159161011E-3</v>
      </c>
      <c r="M146" s="555">
        <f t="shared" si="102"/>
        <v>-7.1742556191424067E-3</v>
      </c>
      <c r="N146" s="555">
        <f t="shared" si="102"/>
        <v>-9.9828745666429974E-3</v>
      </c>
      <c r="O146" s="555">
        <f t="shared" si="102"/>
        <v>-3.1178803476499872E-2</v>
      </c>
      <c r="P146" s="555">
        <f t="shared" si="102"/>
        <v>-1.0146757827809955E-2</v>
      </c>
      <c r="Q146" s="522">
        <f>AVERAGE(Tabuľka1578[[#This Row],[2013]:[2022]])</f>
        <v>-8.6094004522876272E-3</v>
      </c>
      <c r="R146" s="522">
        <f>Tabuľka1578[[#This Row],[Priemer]]</f>
        <v>-8.6094004522876272E-3</v>
      </c>
      <c r="S146" s="522">
        <f>Tabuľka1578[[#This Row],[2023]]</f>
        <v>-8.6094004522876272E-3</v>
      </c>
      <c r="T146" s="522">
        <f>Tabuľka1578[[#This Row],[2024]]</f>
        <v>-8.6094004522876272E-3</v>
      </c>
      <c r="U146" s="522">
        <f>Tabuľka1578[[#This Row],[2025]]</f>
        <v>-8.6094004522876272E-3</v>
      </c>
      <c r="V146" s="522">
        <f>Tabuľka1578[[#This Row],[2026]]</f>
        <v>-8.6094004522876272E-3</v>
      </c>
      <c r="W146" s="522">
        <f>Tabuľka1578[[#This Row],[2027]]</f>
        <v>-8.6094004522876272E-3</v>
      </c>
      <c r="X146" s="522">
        <f>Tabuľka1578[[#This Row],[2028]]</f>
        <v>-8.6094004522876272E-3</v>
      </c>
      <c r="Y146" s="522">
        <f>Tabuľka1578[[#This Row],[2029]]</f>
        <v>-8.6094004522876272E-3</v>
      </c>
      <c r="Z146" s="522">
        <f>Tabuľka1578[[#This Row],[2030]]</f>
        <v>-8.6094004522876272E-3</v>
      </c>
      <c r="AA146" s="522">
        <f>Tabuľka1578[[#This Row],[2031]]</f>
        <v>-8.6094004522876272E-3</v>
      </c>
      <c r="AB146" s="522">
        <f>Tabuľka1578[[#This Row],[2032]]</f>
        <v>-8.6094004522876272E-3</v>
      </c>
    </row>
    <row r="147" spans="2:28">
      <c r="B147" s="539" t="s">
        <v>762</v>
      </c>
      <c r="C147" s="539" t="s">
        <v>41</v>
      </c>
      <c r="D147" s="539" t="s">
        <v>26</v>
      </c>
      <c r="E147" s="540" t="s">
        <v>809</v>
      </c>
      <c r="F147" s="541"/>
      <c r="G147" s="555">
        <f t="shared" ref="G147:P147" si="103">G80/F12</f>
        <v>-2.4650780608052587E-3</v>
      </c>
      <c r="H147" s="555">
        <f t="shared" si="103"/>
        <v>-6.8471993410214168E-3</v>
      </c>
      <c r="I147" s="555">
        <f t="shared" si="103"/>
        <v>-4.9245762272562337E-3</v>
      </c>
      <c r="J147" s="555">
        <f t="shared" si="103"/>
        <v>-1.0470931444050844E-2</v>
      </c>
      <c r="K147" s="555">
        <f t="shared" si="103"/>
        <v>-4.7380889707817845E-3</v>
      </c>
      <c r="L147" s="555">
        <f t="shared" si="103"/>
        <v>-4.4432689764612532E-3</v>
      </c>
      <c r="M147" s="555">
        <f t="shared" si="103"/>
        <v>-8.2886137824770209E-3</v>
      </c>
      <c r="N147" s="555">
        <f t="shared" si="103"/>
        <v>-6.1612643986070185E-3</v>
      </c>
      <c r="O147" s="555">
        <f t="shared" si="103"/>
        <v>-3.417789757412399E-2</v>
      </c>
      <c r="P147" s="555">
        <f t="shared" si="103"/>
        <v>-1.0939941951328422E-2</v>
      </c>
      <c r="Q147" s="522">
        <f>AVERAGE(Tabuľka1578[[#This Row],[2013]:[2022]])</f>
        <v>-9.3456860726913241E-3</v>
      </c>
      <c r="R147" s="522">
        <f>Tabuľka1578[[#This Row],[Priemer]]</f>
        <v>-9.3456860726913241E-3</v>
      </c>
      <c r="S147" s="522">
        <f>Tabuľka1578[[#This Row],[2023]]</f>
        <v>-9.3456860726913241E-3</v>
      </c>
      <c r="T147" s="522">
        <f>Tabuľka1578[[#This Row],[2024]]</f>
        <v>-9.3456860726913241E-3</v>
      </c>
      <c r="U147" s="522">
        <f>Tabuľka1578[[#This Row],[2025]]</f>
        <v>-9.3456860726913241E-3</v>
      </c>
      <c r="V147" s="522">
        <f>Tabuľka1578[[#This Row],[2026]]</f>
        <v>-9.3456860726913241E-3</v>
      </c>
      <c r="W147" s="522">
        <f>Tabuľka1578[[#This Row],[2027]]</f>
        <v>-9.3456860726913241E-3</v>
      </c>
      <c r="X147" s="522">
        <f>Tabuľka1578[[#This Row],[2028]]</f>
        <v>-9.3456860726913241E-3</v>
      </c>
      <c r="Y147" s="522">
        <f>Tabuľka1578[[#This Row],[2029]]</f>
        <v>-9.3456860726913241E-3</v>
      </c>
      <c r="Z147" s="522">
        <f>Tabuľka1578[[#This Row],[2030]]</f>
        <v>-9.3456860726913241E-3</v>
      </c>
      <c r="AA147" s="522">
        <f>Tabuľka1578[[#This Row],[2031]]</f>
        <v>-9.3456860726913241E-3</v>
      </c>
      <c r="AB147" s="522">
        <f>Tabuľka1578[[#This Row],[2032]]</f>
        <v>-9.3456860726913241E-3</v>
      </c>
    </row>
    <row r="148" spans="2:28">
      <c r="B148" s="539" t="s">
        <v>763</v>
      </c>
      <c r="C148" s="539" t="s">
        <v>41</v>
      </c>
      <c r="D148" s="539" t="s">
        <v>20</v>
      </c>
      <c r="E148" s="540" t="s">
        <v>810</v>
      </c>
      <c r="F148" s="541"/>
      <c r="G148" s="555">
        <f t="shared" ref="G148:P148" si="104">G81/F13</f>
        <v>-3.5459421124950136E-3</v>
      </c>
      <c r="H148" s="555">
        <f t="shared" si="104"/>
        <v>3.2027045060273119E-3</v>
      </c>
      <c r="I148" s="555">
        <f t="shared" si="104"/>
        <v>4.389659912206802E-3</v>
      </c>
      <c r="J148" s="555">
        <f t="shared" si="104"/>
        <v>-4.8560833480487372E-4</v>
      </c>
      <c r="K148" s="555">
        <f t="shared" si="104"/>
        <v>8.8335320878053092E-5</v>
      </c>
      <c r="L148" s="555">
        <f t="shared" si="104"/>
        <v>3.8422470520690722E-3</v>
      </c>
      <c r="M148" s="555">
        <f t="shared" si="104"/>
        <v>-2.0237571491421029E-3</v>
      </c>
      <c r="N148" s="555">
        <f t="shared" si="104"/>
        <v>-2.8213718920825251E-3</v>
      </c>
      <c r="O148" s="555">
        <f t="shared" si="104"/>
        <v>1.7197170645446506E-2</v>
      </c>
      <c r="P148" s="555">
        <f t="shared" si="104"/>
        <v>-5.0849667521404669E-3</v>
      </c>
      <c r="Q148" s="522">
        <f>AVERAGE(Tabuľka1578[[#This Row],[2013]:[2022]])</f>
        <v>1.4758471195962762E-3</v>
      </c>
      <c r="R148" s="522">
        <f>Tabuľka1578[[#This Row],[Priemer]]</f>
        <v>1.4758471195962762E-3</v>
      </c>
      <c r="S148" s="522">
        <f>Tabuľka1578[[#This Row],[2023]]</f>
        <v>1.4758471195962762E-3</v>
      </c>
      <c r="T148" s="522">
        <f>Tabuľka1578[[#This Row],[2024]]</f>
        <v>1.4758471195962762E-3</v>
      </c>
      <c r="U148" s="522">
        <f>Tabuľka1578[[#This Row],[2025]]</f>
        <v>1.4758471195962762E-3</v>
      </c>
      <c r="V148" s="522">
        <f>Tabuľka1578[[#This Row],[2026]]</f>
        <v>1.4758471195962762E-3</v>
      </c>
      <c r="W148" s="522">
        <f>Tabuľka1578[[#This Row],[2027]]</f>
        <v>1.4758471195962762E-3</v>
      </c>
      <c r="X148" s="522">
        <f>Tabuľka1578[[#This Row],[2028]]</f>
        <v>1.4758471195962762E-3</v>
      </c>
      <c r="Y148" s="522">
        <f>Tabuľka1578[[#This Row],[2029]]</f>
        <v>1.4758471195962762E-3</v>
      </c>
      <c r="Z148" s="522">
        <f>Tabuľka1578[[#This Row],[2030]]</f>
        <v>1.4758471195962762E-3</v>
      </c>
      <c r="AA148" s="522">
        <f>Tabuľka1578[[#This Row],[2031]]</f>
        <v>1.4758471195962762E-3</v>
      </c>
      <c r="AB148" s="522">
        <f>Tabuľka1578[[#This Row],[2032]]</f>
        <v>1.4758471195962762E-3</v>
      </c>
    </row>
    <row r="149" spans="2:28">
      <c r="B149" s="539" t="s">
        <v>764</v>
      </c>
      <c r="C149" s="539" t="s">
        <v>41</v>
      </c>
      <c r="D149" s="539" t="s">
        <v>20</v>
      </c>
      <c r="E149" s="540" t="s">
        <v>810</v>
      </c>
      <c r="F149" s="541"/>
      <c r="G149" s="555">
        <f t="shared" ref="G149:P149" si="105">G82/F14</f>
        <v>2.7960854803275414E-3</v>
      </c>
      <c r="H149" s="555">
        <f t="shared" si="105"/>
        <v>-5.7093540463387105E-3</v>
      </c>
      <c r="I149" s="555">
        <f t="shared" si="105"/>
        <v>2.9378380182947185E-3</v>
      </c>
      <c r="J149" s="555">
        <f t="shared" si="105"/>
        <v>2.1969243059716398E-3</v>
      </c>
      <c r="K149" s="555">
        <f t="shared" si="105"/>
        <v>-1.6606881891855986E-3</v>
      </c>
      <c r="L149" s="555">
        <f t="shared" si="105"/>
        <v>-1.0646084237141526E-3</v>
      </c>
      <c r="M149" s="555">
        <f t="shared" si="105"/>
        <v>-1.5320055951508693E-3</v>
      </c>
      <c r="N149" s="555">
        <f t="shared" si="105"/>
        <v>4.6697798532354907E-3</v>
      </c>
      <c r="O149" s="555">
        <f t="shared" si="105"/>
        <v>2.5232403718459494E-3</v>
      </c>
      <c r="P149" s="555">
        <f t="shared" si="105"/>
        <v>1.1855874950324547E-2</v>
      </c>
      <c r="Q149" s="522">
        <f>AVERAGE(Tabuľka1578[[#This Row],[2013]:[2022]])</f>
        <v>1.7013086725610554E-3</v>
      </c>
      <c r="R149" s="522">
        <f>Tabuľka1578[[#This Row],[Priemer]]</f>
        <v>1.7013086725610554E-3</v>
      </c>
      <c r="S149" s="522">
        <f>Tabuľka1578[[#This Row],[2023]]</f>
        <v>1.7013086725610554E-3</v>
      </c>
      <c r="T149" s="522">
        <f>Tabuľka1578[[#This Row],[2024]]</f>
        <v>1.7013086725610554E-3</v>
      </c>
      <c r="U149" s="522">
        <f>Tabuľka1578[[#This Row],[2025]]</f>
        <v>1.7013086725610554E-3</v>
      </c>
      <c r="V149" s="522">
        <f>Tabuľka1578[[#This Row],[2026]]</f>
        <v>1.7013086725610554E-3</v>
      </c>
      <c r="W149" s="522">
        <f>Tabuľka1578[[#This Row],[2027]]</f>
        <v>1.7013086725610554E-3</v>
      </c>
      <c r="X149" s="522">
        <f>Tabuľka1578[[#This Row],[2028]]</f>
        <v>1.7013086725610554E-3</v>
      </c>
      <c r="Y149" s="522">
        <f>Tabuľka1578[[#This Row],[2029]]</f>
        <v>1.7013086725610554E-3</v>
      </c>
      <c r="Z149" s="522">
        <f>Tabuľka1578[[#This Row],[2030]]</f>
        <v>1.7013086725610554E-3</v>
      </c>
      <c r="AA149" s="522">
        <f>Tabuľka1578[[#This Row],[2031]]</f>
        <v>1.7013086725610554E-3</v>
      </c>
      <c r="AB149" s="522">
        <f>Tabuľka1578[[#This Row],[2032]]</f>
        <v>1.7013086725610554E-3</v>
      </c>
    </row>
    <row r="150" spans="2:28">
      <c r="B150" s="539" t="s">
        <v>765</v>
      </c>
      <c r="C150" s="539" t="s">
        <v>41</v>
      </c>
      <c r="D150" s="539" t="s">
        <v>23</v>
      </c>
      <c r="E150" s="540" t="s">
        <v>811</v>
      </c>
      <c r="F150" s="541"/>
      <c r="G150" s="555">
        <f t="shared" ref="G150:P150" si="106">G83/F15</f>
        <v>-2.774003623188406E-3</v>
      </c>
      <c r="H150" s="555">
        <f t="shared" si="106"/>
        <v>-5.5066704513198981E-3</v>
      </c>
      <c r="I150" s="555">
        <f t="shared" si="106"/>
        <v>-7.5921908893709323E-3</v>
      </c>
      <c r="J150" s="555">
        <f t="shared" si="106"/>
        <v>-7.1901064135749208E-3</v>
      </c>
      <c r="K150" s="555">
        <f t="shared" si="106"/>
        <v>-8.1691772885283901E-3</v>
      </c>
      <c r="L150" s="555">
        <f t="shared" si="106"/>
        <v>-7.0097552427127756E-3</v>
      </c>
      <c r="M150" s="555">
        <f t="shared" si="106"/>
        <v>-6.4121418906994531E-3</v>
      </c>
      <c r="N150" s="555">
        <f t="shared" si="106"/>
        <v>-1.3439905269390172E-2</v>
      </c>
      <c r="O150" s="555">
        <f t="shared" si="106"/>
        <v>-3.9368661105443195E-2</v>
      </c>
      <c r="P150" s="555">
        <f t="shared" si="106"/>
        <v>-1.4181295683138627E-2</v>
      </c>
      <c r="Q150" s="522">
        <f>AVERAGE(Tabuľka1578[[#This Row],[2013]:[2022]])</f>
        <v>-1.1164390785736677E-2</v>
      </c>
      <c r="R150" s="522">
        <f>Tabuľka1578[[#This Row],[Priemer]]</f>
        <v>-1.1164390785736677E-2</v>
      </c>
      <c r="S150" s="522">
        <f>Tabuľka1578[[#This Row],[2023]]</f>
        <v>-1.1164390785736677E-2</v>
      </c>
      <c r="T150" s="522">
        <f>Tabuľka1578[[#This Row],[2024]]</f>
        <v>-1.1164390785736677E-2</v>
      </c>
      <c r="U150" s="522">
        <f>Tabuľka1578[[#This Row],[2025]]</f>
        <v>-1.1164390785736677E-2</v>
      </c>
      <c r="V150" s="522">
        <f>Tabuľka1578[[#This Row],[2026]]</f>
        <v>-1.1164390785736677E-2</v>
      </c>
      <c r="W150" s="522">
        <f>Tabuľka1578[[#This Row],[2027]]</f>
        <v>-1.1164390785736677E-2</v>
      </c>
      <c r="X150" s="522">
        <f>Tabuľka1578[[#This Row],[2028]]</f>
        <v>-1.1164390785736677E-2</v>
      </c>
      <c r="Y150" s="522">
        <f>Tabuľka1578[[#This Row],[2029]]</f>
        <v>-1.1164390785736677E-2</v>
      </c>
      <c r="Z150" s="522">
        <f>Tabuľka1578[[#This Row],[2030]]</f>
        <v>-1.1164390785736677E-2</v>
      </c>
      <c r="AA150" s="522">
        <f>Tabuľka1578[[#This Row],[2031]]</f>
        <v>-1.1164390785736677E-2</v>
      </c>
      <c r="AB150" s="522">
        <f>Tabuľka1578[[#This Row],[2032]]</f>
        <v>-1.1164390785736677E-2</v>
      </c>
    </row>
    <row r="151" spans="2:28">
      <c r="B151" s="539" t="s">
        <v>766</v>
      </c>
      <c r="C151" s="539" t="s">
        <v>41</v>
      </c>
      <c r="D151" s="539" t="s">
        <v>20</v>
      </c>
      <c r="E151" s="540" t="s">
        <v>21</v>
      </c>
      <c r="F151" s="541"/>
      <c r="G151" s="555">
        <f t="shared" ref="G151:P151" si="107">G84/F16</f>
        <v>-5.7155516171909617E-3</v>
      </c>
      <c r="H151" s="555">
        <f t="shared" si="107"/>
        <v>-7.8873490486163714E-3</v>
      </c>
      <c r="I151" s="555">
        <f t="shared" si="107"/>
        <v>-8.309378368666907E-3</v>
      </c>
      <c r="J151" s="555">
        <f t="shared" si="107"/>
        <v>-6.6126183251053036E-3</v>
      </c>
      <c r="K151" s="555">
        <f t="shared" si="107"/>
        <v>-9.9393607805589746E-3</v>
      </c>
      <c r="L151" s="555">
        <f t="shared" si="107"/>
        <v>-9.5325811650932533E-3</v>
      </c>
      <c r="M151" s="555">
        <f t="shared" si="107"/>
        <v>-9.6243258322484659E-3</v>
      </c>
      <c r="N151" s="555">
        <f t="shared" si="107"/>
        <v>-1.0985399746490775E-2</v>
      </c>
      <c r="O151" s="555">
        <f t="shared" si="107"/>
        <v>-3.7641809465040109E-2</v>
      </c>
      <c r="P151" s="555">
        <f t="shared" si="107"/>
        <v>-1.3909440662918023E-2</v>
      </c>
      <c r="Q151" s="522">
        <f>AVERAGE(Tabuľka1578[[#This Row],[2013]:[2022]])</f>
        <v>-1.2015781501192915E-2</v>
      </c>
      <c r="R151" s="522">
        <f>Tabuľka1578[[#This Row],[Priemer]]</f>
        <v>-1.2015781501192915E-2</v>
      </c>
      <c r="S151" s="522">
        <f>Tabuľka1578[[#This Row],[2023]]</f>
        <v>-1.2015781501192915E-2</v>
      </c>
      <c r="T151" s="522">
        <f>Tabuľka1578[[#This Row],[2024]]</f>
        <v>-1.2015781501192915E-2</v>
      </c>
      <c r="U151" s="522">
        <f>Tabuľka1578[[#This Row],[2025]]</f>
        <v>-1.2015781501192915E-2</v>
      </c>
      <c r="V151" s="522">
        <f>Tabuľka1578[[#This Row],[2026]]</f>
        <v>-1.2015781501192915E-2</v>
      </c>
      <c r="W151" s="522">
        <f>Tabuľka1578[[#This Row],[2027]]</f>
        <v>-1.2015781501192915E-2</v>
      </c>
      <c r="X151" s="522">
        <f>Tabuľka1578[[#This Row],[2028]]</f>
        <v>-1.2015781501192915E-2</v>
      </c>
      <c r="Y151" s="522">
        <f>Tabuľka1578[[#This Row],[2029]]</f>
        <v>-1.2015781501192915E-2</v>
      </c>
      <c r="Z151" s="522">
        <f>Tabuľka1578[[#This Row],[2030]]</f>
        <v>-1.2015781501192915E-2</v>
      </c>
      <c r="AA151" s="522">
        <f>Tabuľka1578[[#This Row],[2031]]</f>
        <v>-1.2015781501192915E-2</v>
      </c>
      <c r="AB151" s="522">
        <f>Tabuľka1578[[#This Row],[2032]]</f>
        <v>-1.2015781501192915E-2</v>
      </c>
    </row>
    <row r="152" spans="2:28">
      <c r="B152" s="539" t="s">
        <v>767</v>
      </c>
      <c r="C152" s="539" t="s">
        <v>41</v>
      </c>
      <c r="D152" s="539" t="s">
        <v>30</v>
      </c>
      <c r="E152" s="540" t="s">
        <v>812</v>
      </c>
      <c r="F152" s="541"/>
      <c r="G152" s="555">
        <f t="shared" ref="G152:P152" si="108">G85/F17</f>
        <v>-1.2447067881432055E-2</v>
      </c>
      <c r="H152" s="555">
        <f t="shared" si="108"/>
        <v>-5.4573804573804577E-3</v>
      </c>
      <c r="I152" s="555">
        <f t="shared" si="108"/>
        <v>-5.4873268879017511E-3</v>
      </c>
      <c r="J152" s="555">
        <f t="shared" si="108"/>
        <v>-5.7803468208092483E-3</v>
      </c>
      <c r="K152" s="555">
        <f t="shared" si="108"/>
        <v>-4.3604651162790697E-3</v>
      </c>
      <c r="L152" s="555">
        <f t="shared" si="108"/>
        <v>-6.7684140676841408E-3</v>
      </c>
      <c r="M152" s="555">
        <f t="shared" si="108"/>
        <v>-9.2196686264029923E-3</v>
      </c>
      <c r="N152" s="555">
        <f t="shared" si="108"/>
        <v>-6.7430883344571811E-3</v>
      </c>
      <c r="O152" s="555">
        <f t="shared" si="108"/>
        <v>-3.6659877800407331E-2</v>
      </c>
      <c r="P152" s="555">
        <f t="shared" si="108"/>
        <v>-3.8054968287526427E-3</v>
      </c>
      <c r="Q152" s="522">
        <f>AVERAGE(Tabuľka1578[[#This Row],[2013]:[2022]])</f>
        <v>-9.6729132821506865E-3</v>
      </c>
      <c r="R152" s="522">
        <f>Tabuľka1578[[#This Row],[Priemer]]</f>
        <v>-9.6729132821506865E-3</v>
      </c>
      <c r="S152" s="522">
        <f>Tabuľka1578[[#This Row],[2023]]</f>
        <v>-9.6729132821506865E-3</v>
      </c>
      <c r="T152" s="522">
        <f>Tabuľka1578[[#This Row],[2024]]</f>
        <v>-9.6729132821506865E-3</v>
      </c>
      <c r="U152" s="522">
        <f>Tabuľka1578[[#This Row],[2025]]</f>
        <v>-9.6729132821506865E-3</v>
      </c>
      <c r="V152" s="522">
        <f>Tabuľka1578[[#This Row],[2026]]</f>
        <v>-9.6729132821506865E-3</v>
      </c>
      <c r="W152" s="522">
        <f>Tabuľka1578[[#This Row],[2027]]</f>
        <v>-9.6729132821506865E-3</v>
      </c>
      <c r="X152" s="522">
        <f>Tabuľka1578[[#This Row],[2028]]</f>
        <v>-9.6729132821506865E-3</v>
      </c>
      <c r="Y152" s="522">
        <f>Tabuľka1578[[#This Row],[2029]]</f>
        <v>-9.6729132821506865E-3</v>
      </c>
      <c r="Z152" s="522">
        <f>Tabuľka1578[[#This Row],[2030]]</f>
        <v>-9.6729132821506865E-3</v>
      </c>
      <c r="AA152" s="522">
        <f>Tabuľka1578[[#This Row],[2031]]</f>
        <v>-9.6729132821506865E-3</v>
      </c>
      <c r="AB152" s="522">
        <f>Tabuľka1578[[#This Row],[2032]]</f>
        <v>-9.6729132821506865E-3</v>
      </c>
    </row>
    <row r="153" spans="2:28">
      <c r="B153" s="539" t="s">
        <v>768</v>
      </c>
      <c r="C153" s="539" t="s">
        <v>41</v>
      </c>
      <c r="D153" s="539" t="s">
        <v>34</v>
      </c>
      <c r="E153" s="540" t="s">
        <v>813</v>
      </c>
      <c r="F153" s="541"/>
      <c r="G153" s="555">
        <f t="shared" ref="G153:P153" si="109">G86/F18</f>
        <v>-5.1683316971761857E-3</v>
      </c>
      <c r="H153" s="555">
        <f t="shared" si="109"/>
        <v>-7.8072848643157746E-3</v>
      </c>
      <c r="I153" s="555">
        <f t="shared" si="109"/>
        <v>-7.0496694553325925E-3</v>
      </c>
      <c r="J153" s="555">
        <f t="shared" si="109"/>
        <v>-8.395934600088379E-3</v>
      </c>
      <c r="K153" s="555">
        <f t="shared" si="109"/>
        <v>-6.5062388591800354E-3</v>
      </c>
      <c r="L153" s="555">
        <f t="shared" si="109"/>
        <v>-7.4758529948267096E-3</v>
      </c>
      <c r="M153" s="555">
        <f t="shared" si="109"/>
        <v>-1.0755927811756199E-2</v>
      </c>
      <c r="N153" s="555">
        <f t="shared" si="109"/>
        <v>-1.0446488396174698E-2</v>
      </c>
      <c r="O153" s="555">
        <f t="shared" si="109"/>
        <v>-4.819796251269582E-2</v>
      </c>
      <c r="P153" s="555">
        <f t="shared" si="109"/>
        <v>-1.5359741309620048E-2</v>
      </c>
      <c r="Q153" s="522">
        <f>AVERAGE(Tabuľka1578[[#This Row],[2013]:[2022]])</f>
        <v>-1.2716343250116646E-2</v>
      </c>
      <c r="R153" s="522">
        <f>Tabuľka1578[[#This Row],[Priemer]]</f>
        <v>-1.2716343250116646E-2</v>
      </c>
      <c r="S153" s="522">
        <f>Tabuľka1578[[#This Row],[2023]]</f>
        <v>-1.2716343250116646E-2</v>
      </c>
      <c r="T153" s="522">
        <f>Tabuľka1578[[#This Row],[2024]]</f>
        <v>-1.2716343250116646E-2</v>
      </c>
      <c r="U153" s="522">
        <f>Tabuľka1578[[#This Row],[2025]]</f>
        <v>-1.2716343250116646E-2</v>
      </c>
      <c r="V153" s="522">
        <f>Tabuľka1578[[#This Row],[2026]]</f>
        <v>-1.2716343250116646E-2</v>
      </c>
      <c r="W153" s="522">
        <f>Tabuľka1578[[#This Row],[2027]]</f>
        <v>-1.2716343250116646E-2</v>
      </c>
      <c r="X153" s="522">
        <f>Tabuľka1578[[#This Row],[2028]]</f>
        <v>-1.2716343250116646E-2</v>
      </c>
      <c r="Y153" s="522">
        <f>Tabuľka1578[[#This Row],[2029]]</f>
        <v>-1.2716343250116646E-2</v>
      </c>
      <c r="Z153" s="522">
        <f>Tabuľka1578[[#This Row],[2030]]</f>
        <v>-1.2716343250116646E-2</v>
      </c>
      <c r="AA153" s="522">
        <f>Tabuľka1578[[#This Row],[2031]]</f>
        <v>-1.2716343250116646E-2</v>
      </c>
      <c r="AB153" s="522">
        <f>Tabuľka1578[[#This Row],[2032]]</f>
        <v>-1.2716343250116646E-2</v>
      </c>
    </row>
    <row r="154" spans="2:28">
      <c r="B154" s="539" t="s">
        <v>769</v>
      </c>
      <c r="C154" s="539" t="s">
        <v>41</v>
      </c>
      <c r="D154" s="539" t="s">
        <v>34</v>
      </c>
      <c r="E154" s="540" t="s">
        <v>35</v>
      </c>
      <c r="F154" s="541"/>
      <c r="G154" s="555">
        <f t="shared" ref="G154:P154" si="110">G87/F19</f>
        <v>-4.8289018719446762E-3</v>
      </c>
      <c r="H154" s="555">
        <f t="shared" si="110"/>
        <v>-3.4146049242197328E-3</v>
      </c>
      <c r="I154" s="555">
        <f t="shared" si="110"/>
        <v>-4.6886270738158214E-3</v>
      </c>
      <c r="J154" s="555">
        <f t="shared" si="110"/>
        <v>2.4157506945283246E-4</v>
      </c>
      <c r="K154" s="555">
        <f t="shared" si="110"/>
        <v>-4.890713681922473E-3</v>
      </c>
      <c r="L154" s="555">
        <f t="shared" si="110"/>
        <v>-6.0675929858625081E-3</v>
      </c>
      <c r="M154" s="555">
        <f t="shared" si="110"/>
        <v>-2.1366216958671634E-3</v>
      </c>
      <c r="N154" s="555">
        <f t="shared" si="110"/>
        <v>-4.7718096170316898E-3</v>
      </c>
      <c r="O154" s="555">
        <f t="shared" si="110"/>
        <v>-5.4647160068846817E-2</v>
      </c>
      <c r="P154" s="555">
        <f t="shared" si="110"/>
        <v>-4.8767800247090185E-3</v>
      </c>
      <c r="Q154" s="522">
        <f>AVERAGE(Tabuľka1578[[#This Row],[2013]:[2022]])</f>
        <v>-9.0081236874767073E-3</v>
      </c>
      <c r="R154" s="522">
        <f>Tabuľka1578[[#This Row],[Priemer]]</f>
        <v>-9.0081236874767073E-3</v>
      </c>
      <c r="S154" s="522">
        <f>Tabuľka1578[[#This Row],[2023]]</f>
        <v>-9.0081236874767073E-3</v>
      </c>
      <c r="T154" s="522">
        <f>Tabuľka1578[[#This Row],[2024]]</f>
        <v>-9.0081236874767073E-3</v>
      </c>
      <c r="U154" s="522">
        <f>Tabuľka1578[[#This Row],[2025]]</f>
        <v>-9.0081236874767073E-3</v>
      </c>
      <c r="V154" s="522">
        <f>Tabuľka1578[[#This Row],[2026]]</f>
        <v>-9.0081236874767073E-3</v>
      </c>
      <c r="W154" s="522">
        <f>Tabuľka1578[[#This Row],[2027]]</f>
        <v>-9.0081236874767073E-3</v>
      </c>
      <c r="X154" s="522">
        <f>Tabuľka1578[[#This Row],[2028]]</f>
        <v>-9.0081236874767073E-3</v>
      </c>
      <c r="Y154" s="522">
        <f>Tabuľka1578[[#This Row],[2029]]</f>
        <v>-9.0081236874767073E-3</v>
      </c>
      <c r="Z154" s="522">
        <f>Tabuľka1578[[#This Row],[2030]]</f>
        <v>-9.0081236874767073E-3</v>
      </c>
      <c r="AA154" s="522">
        <f>Tabuľka1578[[#This Row],[2031]]</f>
        <v>-9.0081236874767073E-3</v>
      </c>
      <c r="AB154" s="522">
        <f>Tabuľka1578[[#This Row],[2032]]</f>
        <v>-9.0081236874767073E-3</v>
      </c>
    </row>
    <row r="155" spans="2:28">
      <c r="B155" s="539" t="s">
        <v>770</v>
      </c>
      <c r="C155" s="539" t="s">
        <v>41</v>
      </c>
      <c r="D155" s="539" t="s">
        <v>28</v>
      </c>
      <c r="E155" s="540" t="s">
        <v>814</v>
      </c>
      <c r="F155" s="541"/>
      <c r="G155" s="555">
        <f t="shared" ref="G155:P155" si="111">G88/F20</f>
        <v>-2.2229920896125644E-3</v>
      </c>
      <c r="H155" s="555">
        <f t="shared" si="111"/>
        <v>-2.8934347964468619E-3</v>
      </c>
      <c r="I155" s="555">
        <f t="shared" si="111"/>
        <v>-3.7143437509068221E-3</v>
      </c>
      <c r="J155" s="555">
        <f t="shared" si="111"/>
        <v>-4.1650889814464215E-3</v>
      </c>
      <c r="K155" s="555">
        <f t="shared" si="111"/>
        <v>-8.774495466510676E-4</v>
      </c>
      <c r="L155" s="555">
        <f t="shared" si="111"/>
        <v>-6.8208430913348946E-3</v>
      </c>
      <c r="M155" s="555">
        <f t="shared" si="111"/>
        <v>-5.1876086892445545E-3</v>
      </c>
      <c r="N155" s="555">
        <f t="shared" si="111"/>
        <v>-6.2812953690261032E-3</v>
      </c>
      <c r="O155" s="555">
        <f t="shared" si="111"/>
        <v>-2.6715167417036882E-2</v>
      </c>
      <c r="P155" s="555">
        <f t="shared" si="111"/>
        <v>-1.090586036822596E-2</v>
      </c>
      <c r="Q155" s="522">
        <f>AVERAGE(Tabuľka1578[[#This Row],[2013]:[2022]])</f>
        <v>-6.9784084099932132E-3</v>
      </c>
      <c r="R155" s="522">
        <f>Tabuľka1578[[#This Row],[Priemer]]</f>
        <v>-6.9784084099932132E-3</v>
      </c>
      <c r="S155" s="522">
        <f>Tabuľka1578[[#This Row],[2023]]</f>
        <v>-6.9784084099932132E-3</v>
      </c>
      <c r="T155" s="522">
        <f>Tabuľka1578[[#This Row],[2024]]</f>
        <v>-6.9784084099932132E-3</v>
      </c>
      <c r="U155" s="522">
        <f>Tabuľka1578[[#This Row],[2025]]</f>
        <v>-6.9784084099932132E-3</v>
      </c>
      <c r="V155" s="522">
        <f>Tabuľka1578[[#This Row],[2026]]</f>
        <v>-6.9784084099932132E-3</v>
      </c>
      <c r="W155" s="522">
        <f>Tabuľka1578[[#This Row],[2027]]</f>
        <v>-6.9784084099932132E-3</v>
      </c>
      <c r="X155" s="522">
        <f>Tabuľka1578[[#This Row],[2028]]</f>
        <v>-6.9784084099932132E-3</v>
      </c>
      <c r="Y155" s="522">
        <f>Tabuľka1578[[#This Row],[2029]]</f>
        <v>-6.9784084099932132E-3</v>
      </c>
      <c r="Z155" s="522">
        <f>Tabuľka1578[[#This Row],[2030]]</f>
        <v>-6.9784084099932132E-3</v>
      </c>
      <c r="AA155" s="522">
        <f>Tabuľka1578[[#This Row],[2031]]</f>
        <v>-6.9784084099932132E-3</v>
      </c>
      <c r="AB155" s="522">
        <f>Tabuľka1578[[#This Row],[2032]]</f>
        <v>-6.9784084099932132E-3</v>
      </c>
    </row>
    <row r="156" spans="2:28">
      <c r="B156" s="539" t="s">
        <v>44</v>
      </c>
      <c r="C156" s="539" t="s">
        <v>41</v>
      </c>
      <c r="D156" s="539" t="s">
        <v>38</v>
      </c>
      <c r="E156" s="540" t="s">
        <v>815</v>
      </c>
      <c r="F156" s="541"/>
      <c r="G156" s="555">
        <f t="shared" ref="G156:P156" si="112">G89/F21</f>
        <v>-1.5281224496593994E-3</v>
      </c>
      <c r="H156" s="555">
        <f t="shared" si="112"/>
        <v>-1.3886745872550533E-3</v>
      </c>
      <c r="I156" s="555">
        <f t="shared" si="112"/>
        <v>-1.1024621655029566E-3</v>
      </c>
      <c r="J156" s="555">
        <f t="shared" si="112"/>
        <v>-2.4665551839464885E-4</v>
      </c>
      <c r="K156" s="555">
        <f t="shared" si="112"/>
        <v>-1.9235513776391335E-4</v>
      </c>
      <c r="L156" s="555">
        <f t="shared" si="112"/>
        <v>-1.4136640247600326E-3</v>
      </c>
      <c r="M156" s="555">
        <f t="shared" si="112"/>
        <v>-6.8689085555606751E-4</v>
      </c>
      <c r="N156" s="555">
        <f t="shared" si="112"/>
        <v>-1.9070131982078268E-3</v>
      </c>
      <c r="O156" s="555">
        <f t="shared" si="112"/>
        <v>-4.4847945309022502E-2</v>
      </c>
      <c r="P156" s="555">
        <f t="shared" si="112"/>
        <v>-5.4779343878869945E-3</v>
      </c>
      <c r="Q156" s="522">
        <f>AVERAGE(Tabuľka1578[[#This Row],[2013]:[2022]])</f>
        <v>-5.8791717634009404E-3</v>
      </c>
      <c r="R156" s="522">
        <f>Tabuľka1578[[#This Row],[Priemer]]</f>
        <v>-5.8791717634009404E-3</v>
      </c>
      <c r="S156" s="522">
        <f>Tabuľka1578[[#This Row],[2023]]</f>
        <v>-5.8791717634009404E-3</v>
      </c>
      <c r="T156" s="522">
        <f>Tabuľka1578[[#This Row],[2024]]</f>
        <v>-5.8791717634009404E-3</v>
      </c>
      <c r="U156" s="522">
        <f>Tabuľka1578[[#This Row],[2025]]</f>
        <v>-5.8791717634009404E-3</v>
      </c>
      <c r="V156" s="522">
        <f>Tabuľka1578[[#This Row],[2026]]</f>
        <v>-5.8791717634009404E-3</v>
      </c>
      <c r="W156" s="522">
        <f>Tabuľka1578[[#This Row],[2027]]</f>
        <v>-5.8791717634009404E-3</v>
      </c>
      <c r="X156" s="522">
        <f>Tabuľka1578[[#This Row],[2028]]</f>
        <v>-5.8791717634009404E-3</v>
      </c>
      <c r="Y156" s="522">
        <f>Tabuľka1578[[#This Row],[2029]]</f>
        <v>-5.8791717634009404E-3</v>
      </c>
      <c r="Z156" s="522">
        <f>Tabuľka1578[[#This Row],[2030]]</f>
        <v>-5.8791717634009404E-3</v>
      </c>
      <c r="AA156" s="522">
        <f>Tabuľka1578[[#This Row],[2031]]</f>
        <v>-5.8791717634009404E-3</v>
      </c>
      <c r="AB156" s="522">
        <f>Tabuľka1578[[#This Row],[2032]]</f>
        <v>-5.8791717634009404E-3</v>
      </c>
    </row>
    <row r="157" spans="2:28">
      <c r="B157" s="539" t="s">
        <v>771</v>
      </c>
      <c r="C157" s="539" t="s">
        <v>41</v>
      </c>
      <c r="D157" s="539" t="s">
        <v>26</v>
      </c>
      <c r="E157" s="540" t="s">
        <v>808</v>
      </c>
      <c r="F157" s="541"/>
      <c r="G157" s="555">
        <f t="shared" ref="G157:P157" si="113">G90/F22</f>
        <v>-2.1175564681724848E-3</v>
      </c>
      <c r="H157" s="555">
        <f t="shared" si="113"/>
        <v>-7.7165455597710758E-3</v>
      </c>
      <c r="I157" s="555">
        <f t="shared" si="113"/>
        <v>-6.9340937074719722E-3</v>
      </c>
      <c r="J157" s="555">
        <f t="shared" si="113"/>
        <v>-6.1994257374053769E-3</v>
      </c>
      <c r="K157" s="555">
        <f t="shared" si="113"/>
        <v>-6.369426751592357E-3</v>
      </c>
      <c r="L157" s="555">
        <f t="shared" si="113"/>
        <v>-3.8990219402590537E-3</v>
      </c>
      <c r="M157" s="555">
        <f t="shared" si="113"/>
        <v>-7.961255224573742E-3</v>
      </c>
      <c r="N157" s="555">
        <f t="shared" si="113"/>
        <v>-7.8245168193673519E-3</v>
      </c>
      <c r="O157" s="555">
        <f t="shared" si="113"/>
        <v>-2.2040981396602859E-2</v>
      </c>
      <c r="P157" s="555">
        <f t="shared" si="113"/>
        <v>-1.2957474670893927E-2</v>
      </c>
      <c r="Q157" s="522">
        <f>AVERAGE(Tabuľka1578[[#This Row],[2013]:[2022]])</f>
        <v>-8.4020298276110215E-3</v>
      </c>
      <c r="R157" s="522">
        <f>Tabuľka1578[[#This Row],[Priemer]]</f>
        <v>-8.4020298276110215E-3</v>
      </c>
      <c r="S157" s="522">
        <f>Tabuľka1578[[#This Row],[2023]]</f>
        <v>-8.4020298276110215E-3</v>
      </c>
      <c r="T157" s="522">
        <f>Tabuľka1578[[#This Row],[2024]]</f>
        <v>-8.4020298276110215E-3</v>
      </c>
      <c r="U157" s="522">
        <f>Tabuľka1578[[#This Row],[2025]]</f>
        <v>-8.4020298276110215E-3</v>
      </c>
      <c r="V157" s="522">
        <f>Tabuľka1578[[#This Row],[2026]]</f>
        <v>-8.4020298276110215E-3</v>
      </c>
      <c r="W157" s="522">
        <f>Tabuľka1578[[#This Row],[2027]]</f>
        <v>-8.4020298276110215E-3</v>
      </c>
      <c r="X157" s="522">
        <f>Tabuľka1578[[#This Row],[2028]]</f>
        <v>-8.4020298276110215E-3</v>
      </c>
      <c r="Y157" s="522">
        <f>Tabuľka1578[[#This Row],[2029]]</f>
        <v>-8.4020298276110215E-3</v>
      </c>
      <c r="Z157" s="522">
        <f>Tabuľka1578[[#This Row],[2030]]</f>
        <v>-8.4020298276110215E-3</v>
      </c>
      <c r="AA157" s="522">
        <f>Tabuľka1578[[#This Row],[2031]]</f>
        <v>-8.4020298276110215E-3</v>
      </c>
      <c r="AB157" s="522">
        <f>Tabuľka1578[[#This Row],[2032]]</f>
        <v>-8.4020298276110215E-3</v>
      </c>
    </row>
    <row r="158" spans="2:28">
      <c r="B158" s="539" t="s">
        <v>772</v>
      </c>
      <c r="C158" s="539" t="s">
        <v>41</v>
      </c>
      <c r="D158" s="539" t="s">
        <v>28</v>
      </c>
      <c r="E158" s="540" t="s">
        <v>814</v>
      </c>
      <c r="F158" s="541"/>
      <c r="G158" s="555">
        <f t="shared" ref="G158:P158" si="114">G91/F23</f>
        <v>-7.9420289855072455E-3</v>
      </c>
      <c r="H158" s="555">
        <f t="shared" si="114"/>
        <v>-7.2751709226903521E-3</v>
      </c>
      <c r="I158" s="555">
        <f t="shared" si="114"/>
        <v>-6.0040615710627776E-3</v>
      </c>
      <c r="J158" s="555">
        <f t="shared" si="114"/>
        <v>-6.6621265507950138E-3</v>
      </c>
      <c r="K158" s="555">
        <f t="shared" si="114"/>
        <v>-6.4385358292595686E-3</v>
      </c>
      <c r="L158" s="555">
        <f t="shared" si="114"/>
        <v>-7.5003000120004801E-3</v>
      </c>
      <c r="M158" s="555">
        <f t="shared" si="114"/>
        <v>-1.0489087721419503E-2</v>
      </c>
      <c r="N158" s="555">
        <f t="shared" si="114"/>
        <v>-8.0953108293875062E-3</v>
      </c>
      <c r="O158" s="555">
        <f t="shared" si="114"/>
        <v>-3.1721589159223899E-2</v>
      </c>
      <c r="P158" s="555">
        <f t="shared" si="114"/>
        <v>-1.1418575063613231E-2</v>
      </c>
      <c r="Q158" s="522">
        <f>AVERAGE(Tabuľka1578[[#This Row],[2013]:[2022]])</f>
        <v>-1.0354678664495957E-2</v>
      </c>
      <c r="R158" s="522">
        <f>Tabuľka1578[[#This Row],[Priemer]]</f>
        <v>-1.0354678664495957E-2</v>
      </c>
      <c r="S158" s="522">
        <f>Tabuľka1578[[#This Row],[2023]]</f>
        <v>-1.0354678664495957E-2</v>
      </c>
      <c r="T158" s="522">
        <f>Tabuľka1578[[#This Row],[2024]]</f>
        <v>-1.0354678664495957E-2</v>
      </c>
      <c r="U158" s="522">
        <f>Tabuľka1578[[#This Row],[2025]]</f>
        <v>-1.0354678664495957E-2</v>
      </c>
      <c r="V158" s="522">
        <f>Tabuľka1578[[#This Row],[2026]]</f>
        <v>-1.0354678664495957E-2</v>
      </c>
      <c r="W158" s="522">
        <f>Tabuľka1578[[#This Row],[2027]]</f>
        <v>-1.0354678664495957E-2</v>
      </c>
      <c r="X158" s="522">
        <f>Tabuľka1578[[#This Row],[2028]]</f>
        <v>-1.0354678664495957E-2</v>
      </c>
      <c r="Y158" s="522">
        <f>Tabuľka1578[[#This Row],[2029]]</f>
        <v>-1.0354678664495957E-2</v>
      </c>
      <c r="Z158" s="522">
        <f>Tabuľka1578[[#This Row],[2030]]</f>
        <v>-1.0354678664495957E-2</v>
      </c>
      <c r="AA158" s="522">
        <f>Tabuľka1578[[#This Row],[2031]]</f>
        <v>-1.0354678664495957E-2</v>
      </c>
      <c r="AB158" s="522">
        <f>Tabuľka1578[[#This Row],[2032]]</f>
        <v>-1.0354678664495957E-2</v>
      </c>
    </row>
    <row r="159" spans="2:28">
      <c r="B159" s="539" t="s">
        <v>773</v>
      </c>
      <c r="C159" s="539" t="s">
        <v>41</v>
      </c>
      <c r="D159" s="539" t="s">
        <v>34</v>
      </c>
      <c r="E159" s="540" t="s">
        <v>35</v>
      </c>
      <c r="F159" s="541"/>
      <c r="G159" s="555">
        <f t="shared" ref="G159:P159" si="115">G92/F24</f>
        <v>1.8920197310629096E-3</v>
      </c>
      <c r="H159" s="555">
        <f t="shared" si="115"/>
        <v>-2.9675591825723342E-3</v>
      </c>
      <c r="I159" s="555">
        <f t="shared" si="115"/>
        <v>1.894067509977677E-3</v>
      </c>
      <c r="J159" s="555">
        <f t="shared" si="115"/>
        <v>-7.4269124299507119E-4</v>
      </c>
      <c r="K159" s="555">
        <f t="shared" si="115"/>
        <v>2.0270270270270269E-4</v>
      </c>
      <c r="L159" s="555">
        <f t="shared" si="115"/>
        <v>-3.1074782138755656E-3</v>
      </c>
      <c r="M159" s="555">
        <f t="shared" si="115"/>
        <v>-2.3717557769194282E-3</v>
      </c>
      <c r="N159" s="555">
        <f t="shared" si="115"/>
        <v>-6.5208531449531312E-3</v>
      </c>
      <c r="O159" s="555">
        <f t="shared" si="115"/>
        <v>-3.2476411869273893E-2</v>
      </c>
      <c r="P159" s="555">
        <f t="shared" si="115"/>
        <v>-9.6106282241537697E-3</v>
      </c>
      <c r="Q159" s="522">
        <f>AVERAGE(Tabuľka1578[[#This Row],[2013]:[2022]])</f>
        <v>-5.3808587710999899E-3</v>
      </c>
      <c r="R159" s="522">
        <f>Tabuľka1578[[#This Row],[Priemer]]</f>
        <v>-5.3808587710999899E-3</v>
      </c>
      <c r="S159" s="522">
        <f>Tabuľka1578[[#This Row],[2023]]</f>
        <v>-5.3808587710999899E-3</v>
      </c>
      <c r="T159" s="522">
        <f>Tabuľka1578[[#This Row],[2024]]</f>
        <v>-5.3808587710999899E-3</v>
      </c>
      <c r="U159" s="522">
        <f>Tabuľka1578[[#This Row],[2025]]</f>
        <v>-5.3808587710999899E-3</v>
      </c>
      <c r="V159" s="522">
        <f>Tabuľka1578[[#This Row],[2026]]</f>
        <v>-5.3808587710999899E-3</v>
      </c>
      <c r="W159" s="522">
        <f>Tabuľka1578[[#This Row],[2027]]</f>
        <v>-5.3808587710999899E-3</v>
      </c>
      <c r="X159" s="522">
        <f>Tabuľka1578[[#This Row],[2028]]</f>
        <v>-5.3808587710999899E-3</v>
      </c>
      <c r="Y159" s="522">
        <f>Tabuľka1578[[#This Row],[2029]]</f>
        <v>-5.3808587710999899E-3</v>
      </c>
      <c r="Z159" s="522">
        <f>Tabuľka1578[[#This Row],[2030]]</f>
        <v>-5.3808587710999899E-3</v>
      </c>
      <c r="AA159" s="522">
        <f>Tabuľka1578[[#This Row],[2031]]</f>
        <v>-5.3808587710999899E-3</v>
      </c>
      <c r="AB159" s="522">
        <f>Tabuľka1578[[#This Row],[2032]]</f>
        <v>-5.3808587710999899E-3</v>
      </c>
    </row>
    <row r="160" spans="2:28">
      <c r="B160" s="539" t="s">
        <v>774</v>
      </c>
      <c r="C160" s="539" t="s">
        <v>41</v>
      </c>
      <c r="D160" s="539" t="s">
        <v>26</v>
      </c>
      <c r="E160" s="540" t="s">
        <v>809</v>
      </c>
      <c r="F160" s="541"/>
      <c r="G160" s="555">
        <f t="shared" ref="G160:P160" si="116">G93/F25</f>
        <v>-3.1688262792959557E-3</v>
      </c>
      <c r="H160" s="555">
        <f t="shared" si="116"/>
        <v>-5.6338914767720006E-3</v>
      </c>
      <c r="I160" s="555">
        <f t="shared" si="116"/>
        <v>-1.867502294812142E-3</v>
      </c>
      <c r="J160" s="555">
        <f t="shared" si="116"/>
        <v>-2.3149616287182089E-3</v>
      </c>
      <c r="K160" s="555">
        <f t="shared" si="116"/>
        <v>-3.687104669273068E-3</v>
      </c>
      <c r="L160" s="555">
        <f t="shared" si="116"/>
        <v>-4.8173552400701865E-3</v>
      </c>
      <c r="M160" s="555">
        <f t="shared" si="116"/>
        <v>-6.2191447073155093E-3</v>
      </c>
      <c r="N160" s="555">
        <f t="shared" si="116"/>
        <v>-6.193548387096774E-3</v>
      </c>
      <c r="O160" s="555">
        <f t="shared" si="116"/>
        <v>-1.4703972994027526E-2</v>
      </c>
      <c r="P160" s="555">
        <f t="shared" si="116"/>
        <v>-6.3580958655905127E-3</v>
      </c>
      <c r="Q160" s="522">
        <f>AVERAGE(Tabuľka1578[[#This Row],[2013]:[2022]])</f>
        <v>-5.4964403542971871E-3</v>
      </c>
      <c r="R160" s="522">
        <f>Tabuľka1578[[#This Row],[Priemer]]</f>
        <v>-5.4964403542971871E-3</v>
      </c>
      <c r="S160" s="522">
        <f>Tabuľka1578[[#This Row],[2023]]</f>
        <v>-5.4964403542971871E-3</v>
      </c>
      <c r="T160" s="522">
        <f>Tabuľka1578[[#This Row],[2024]]</f>
        <v>-5.4964403542971871E-3</v>
      </c>
      <c r="U160" s="522">
        <f>Tabuľka1578[[#This Row],[2025]]</f>
        <v>-5.4964403542971871E-3</v>
      </c>
      <c r="V160" s="522">
        <f>Tabuľka1578[[#This Row],[2026]]</f>
        <v>-5.4964403542971871E-3</v>
      </c>
      <c r="W160" s="522">
        <f>Tabuľka1578[[#This Row],[2027]]</f>
        <v>-5.4964403542971871E-3</v>
      </c>
      <c r="X160" s="522">
        <f>Tabuľka1578[[#This Row],[2028]]</f>
        <v>-5.4964403542971871E-3</v>
      </c>
      <c r="Y160" s="522">
        <f>Tabuľka1578[[#This Row],[2029]]</f>
        <v>-5.4964403542971871E-3</v>
      </c>
      <c r="Z160" s="522">
        <f>Tabuľka1578[[#This Row],[2030]]</f>
        <v>-5.4964403542971871E-3</v>
      </c>
      <c r="AA160" s="522">
        <f>Tabuľka1578[[#This Row],[2031]]</f>
        <v>-5.4964403542971871E-3</v>
      </c>
      <c r="AB160" s="522">
        <f>Tabuľka1578[[#This Row],[2032]]</f>
        <v>-5.4964403542971871E-3</v>
      </c>
    </row>
    <row r="161" spans="2:28">
      <c r="B161" s="539" t="s">
        <v>57</v>
      </c>
      <c r="C161" s="539" t="s">
        <v>41</v>
      </c>
      <c r="D161" s="539" t="s">
        <v>30</v>
      </c>
      <c r="E161" s="540" t="s">
        <v>31</v>
      </c>
      <c r="F161" s="541"/>
      <c r="G161" s="555">
        <f t="shared" ref="G161:P161" si="117">G94/F26</f>
        <v>-2.7452222574173794E-3</v>
      </c>
      <c r="H161" s="555">
        <f t="shared" si="117"/>
        <v>-4.6232574554437977E-3</v>
      </c>
      <c r="I161" s="555">
        <f t="shared" si="117"/>
        <v>-3.7228761877747835E-3</v>
      </c>
      <c r="J161" s="555">
        <f t="shared" si="117"/>
        <v>7.4735755720844153E-4</v>
      </c>
      <c r="K161" s="555">
        <f t="shared" si="117"/>
        <v>-4.5874822190611663E-3</v>
      </c>
      <c r="L161" s="555">
        <f t="shared" si="117"/>
        <v>-6.6449930334750457E-3</v>
      </c>
      <c r="M161" s="555">
        <f t="shared" si="117"/>
        <v>-2.3736737996763171E-3</v>
      </c>
      <c r="N161" s="555">
        <f t="shared" si="117"/>
        <v>-7.3542665561123332E-3</v>
      </c>
      <c r="O161" s="555">
        <f t="shared" si="117"/>
        <v>-6.9765752678409301E-2</v>
      </c>
      <c r="P161" s="555">
        <f t="shared" si="117"/>
        <v>-9.760287342859374E-3</v>
      </c>
      <c r="Q161" s="522">
        <f>AVERAGE(Tabuľka1578[[#This Row],[2013]:[2022]])</f>
        <v>-1.1083045397302106E-2</v>
      </c>
      <c r="R161" s="522">
        <f>Tabuľka1578[[#This Row],[Priemer]]</f>
        <v>-1.1083045397302106E-2</v>
      </c>
      <c r="S161" s="522">
        <f>Tabuľka1578[[#This Row],[2023]]</f>
        <v>-1.1083045397302106E-2</v>
      </c>
      <c r="T161" s="522">
        <f>Tabuľka1578[[#This Row],[2024]]</f>
        <v>-1.1083045397302106E-2</v>
      </c>
      <c r="U161" s="522">
        <f>Tabuľka1578[[#This Row],[2025]]</f>
        <v>-1.1083045397302106E-2</v>
      </c>
      <c r="V161" s="522">
        <f>Tabuľka1578[[#This Row],[2026]]</f>
        <v>-1.1083045397302106E-2</v>
      </c>
      <c r="W161" s="522">
        <f>Tabuľka1578[[#This Row],[2027]]</f>
        <v>-1.1083045397302106E-2</v>
      </c>
      <c r="X161" s="522">
        <f>Tabuľka1578[[#This Row],[2028]]</f>
        <v>-1.1083045397302106E-2</v>
      </c>
      <c r="Y161" s="522">
        <f>Tabuľka1578[[#This Row],[2029]]</f>
        <v>-1.1083045397302106E-2</v>
      </c>
      <c r="Z161" s="522">
        <f>Tabuľka1578[[#This Row],[2030]]</f>
        <v>-1.1083045397302106E-2</v>
      </c>
      <c r="AA161" s="522">
        <f>Tabuľka1578[[#This Row],[2031]]</f>
        <v>-1.1083045397302106E-2</v>
      </c>
      <c r="AB161" s="522">
        <f>Tabuľka1578[[#This Row],[2032]]</f>
        <v>-1.1083045397302106E-2</v>
      </c>
    </row>
    <row r="162" spans="2:28">
      <c r="B162" s="539" t="s">
        <v>775</v>
      </c>
      <c r="C162" s="539" t="s">
        <v>41</v>
      </c>
      <c r="D162" s="539" t="s">
        <v>18</v>
      </c>
      <c r="E162" s="540" t="s">
        <v>816</v>
      </c>
      <c r="F162" s="541"/>
      <c r="G162" s="555">
        <f t="shared" ref="G162:P162" si="118">G95/F27</f>
        <v>1.5239434968641933E-3</v>
      </c>
      <c r="H162" s="555">
        <f t="shared" si="118"/>
        <v>2.809153157371101E-3</v>
      </c>
      <c r="I162" s="555">
        <f t="shared" si="118"/>
        <v>6.8864896410854972E-3</v>
      </c>
      <c r="J162" s="555">
        <f t="shared" si="118"/>
        <v>6.0279371703471857E-3</v>
      </c>
      <c r="K162" s="555">
        <f t="shared" si="118"/>
        <v>4.2057959324768102E-3</v>
      </c>
      <c r="L162" s="555">
        <f t="shared" si="118"/>
        <v>4.5897877223178429E-4</v>
      </c>
      <c r="M162" s="555">
        <f t="shared" si="118"/>
        <v>1.6630347516917077E-3</v>
      </c>
      <c r="N162" s="555">
        <f t="shared" si="118"/>
        <v>-5.2098242399954203E-3</v>
      </c>
      <c r="O162" s="555">
        <f t="shared" si="118"/>
        <v>8.8685543278084714E-2</v>
      </c>
      <c r="P162" s="555">
        <f t="shared" si="118"/>
        <v>-5.9206005180525451E-3</v>
      </c>
      <c r="Q162" s="522">
        <f>AVERAGE(Tabuľka1578[[#This Row],[2013]:[2022]])</f>
        <v>1.0113045144210502E-2</v>
      </c>
      <c r="R162" s="522">
        <f>Tabuľka1578[[#This Row],[Priemer]]</f>
        <v>1.0113045144210502E-2</v>
      </c>
      <c r="S162" s="522">
        <f>Tabuľka1578[[#This Row],[2023]]</f>
        <v>1.0113045144210502E-2</v>
      </c>
      <c r="T162" s="522">
        <f>Tabuľka1578[[#This Row],[2024]]</f>
        <v>1.0113045144210502E-2</v>
      </c>
      <c r="U162" s="522">
        <f>Tabuľka1578[[#This Row],[2025]]</f>
        <v>1.0113045144210502E-2</v>
      </c>
      <c r="V162" s="522">
        <f>Tabuľka1578[[#This Row],[2026]]</f>
        <v>1.0113045144210502E-2</v>
      </c>
      <c r="W162" s="522">
        <f>Tabuľka1578[[#This Row],[2027]]</f>
        <v>1.0113045144210502E-2</v>
      </c>
      <c r="X162" s="522">
        <f>Tabuľka1578[[#This Row],[2028]]</f>
        <v>1.0113045144210502E-2</v>
      </c>
      <c r="Y162" s="522">
        <f>Tabuľka1578[[#This Row],[2029]]</f>
        <v>1.0113045144210502E-2</v>
      </c>
      <c r="Z162" s="522">
        <f>Tabuľka1578[[#This Row],[2030]]</f>
        <v>1.0113045144210502E-2</v>
      </c>
      <c r="AA162" s="522">
        <f>Tabuľka1578[[#This Row],[2031]]</f>
        <v>1.0113045144210502E-2</v>
      </c>
      <c r="AB162" s="522">
        <f>Tabuľka1578[[#This Row],[2032]]</f>
        <v>1.0113045144210502E-2</v>
      </c>
    </row>
    <row r="163" spans="2:28">
      <c r="B163" s="539" t="s">
        <v>776</v>
      </c>
      <c r="C163" s="539" t="s">
        <v>41</v>
      </c>
      <c r="D163" s="539" t="s">
        <v>34</v>
      </c>
      <c r="E163" s="549" t="s">
        <v>817</v>
      </c>
      <c r="F163" s="541"/>
      <c r="G163" s="555">
        <f t="shared" ref="G163:P163" si="119">G96/F28</f>
        <v>1.9569471624266144E-2</v>
      </c>
      <c r="H163" s="555">
        <f t="shared" si="119"/>
        <v>1.9193857965451054E-2</v>
      </c>
      <c r="I163" s="555">
        <f t="shared" si="119"/>
        <v>2.2598870056497175E-2</v>
      </c>
      <c r="J163" s="555">
        <f t="shared" si="119"/>
        <v>1.6574585635359115E-2</v>
      </c>
      <c r="K163" s="555">
        <f t="shared" si="119"/>
        <v>1.6304347826086956E-2</v>
      </c>
      <c r="L163" s="555">
        <f t="shared" si="119"/>
        <v>2.4955436720142603E-2</v>
      </c>
      <c r="M163" s="555">
        <f t="shared" si="119"/>
        <v>1.6811594202898551E-2</v>
      </c>
      <c r="N163" s="555">
        <f t="shared" si="119"/>
        <v>5.7012542759407071E-3</v>
      </c>
      <c r="O163" s="555">
        <f t="shared" si="119"/>
        <v>3.0045351473922902E-2</v>
      </c>
      <c r="P163" s="555">
        <f t="shared" si="119"/>
        <v>2.0913593835993397E-2</v>
      </c>
      <c r="Q163" s="522">
        <f>AVERAGE(Tabuľka1578[[#This Row],[2013]:[2022]])</f>
        <v>1.926683636165586E-2</v>
      </c>
      <c r="R163" s="522">
        <f>Tabuľka1578[[#This Row],[Priemer]]</f>
        <v>1.926683636165586E-2</v>
      </c>
      <c r="S163" s="522">
        <f>Tabuľka1578[[#This Row],[2023]]</f>
        <v>1.926683636165586E-2</v>
      </c>
      <c r="T163" s="522">
        <f>Tabuľka1578[[#This Row],[2024]]</f>
        <v>1.926683636165586E-2</v>
      </c>
      <c r="U163" s="522">
        <f>Tabuľka1578[[#This Row],[2025]]</f>
        <v>1.926683636165586E-2</v>
      </c>
      <c r="V163" s="522">
        <f>Tabuľka1578[[#This Row],[2026]]</f>
        <v>1.926683636165586E-2</v>
      </c>
      <c r="W163" s="522">
        <f>Tabuľka1578[[#This Row],[2027]]</f>
        <v>1.926683636165586E-2</v>
      </c>
      <c r="X163" s="522">
        <f>Tabuľka1578[[#This Row],[2028]]</f>
        <v>1.926683636165586E-2</v>
      </c>
      <c r="Y163" s="522">
        <f>Tabuľka1578[[#This Row],[2029]]</f>
        <v>1.926683636165586E-2</v>
      </c>
      <c r="Z163" s="522">
        <f>Tabuľka1578[[#This Row],[2030]]</f>
        <v>1.926683636165586E-2</v>
      </c>
      <c r="AA163" s="522">
        <f>Tabuľka1578[[#This Row],[2031]]</f>
        <v>1.926683636165586E-2</v>
      </c>
      <c r="AB163" s="522">
        <f>Tabuľka1578[[#This Row],[2032]]</f>
        <v>1.926683636165586E-2</v>
      </c>
    </row>
    <row r="164" spans="2:28">
      <c r="B164" s="539" t="s">
        <v>55</v>
      </c>
      <c r="C164" s="539" t="s">
        <v>41</v>
      </c>
      <c r="D164" s="539" t="s">
        <v>26</v>
      </c>
      <c r="E164" s="549" t="s">
        <v>56</v>
      </c>
      <c r="F164" s="541"/>
      <c r="G164" s="555">
        <f t="shared" ref="G164:P164" si="120">G97/F29</f>
        <v>-8.7157813513845297E-3</v>
      </c>
      <c r="H164" s="555">
        <f t="shared" si="120"/>
        <v>-8.3678307327601457E-3</v>
      </c>
      <c r="I164" s="555">
        <f t="shared" si="120"/>
        <v>-6.5295345476602505E-3</v>
      </c>
      <c r="J164" s="555">
        <f t="shared" si="120"/>
        <v>-6.3749169465045705E-3</v>
      </c>
      <c r="K164" s="555">
        <f t="shared" si="120"/>
        <v>-6.397744523964433E-3</v>
      </c>
      <c r="L164" s="555">
        <f t="shared" si="120"/>
        <v>-6.5480737749645315E-3</v>
      </c>
      <c r="M164" s="555">
        <f t="shared" si="120"/>
        <v>-8.2390420740415249E-3</v>
      </c>
      <c r="N164" s="555">
        <f t="shared" si="120"/>
        <v>-7.4767390341160837E-3</v>
      </c>
      <c r="O164" s="555">
        <f t="shared" si="120"/>
        <v>-3.7088704127373848E-2</v>
      </c>
      <c r="P164" s="555">
        <f t="shared" si="120"/>
        <v>-1.216944503467326E-2</v>
      </c>
      <c r="Q164" s="522">
        <f>AVERAGE(Tabuľka1578[[#This Row],[2013]:[2022]])</f>
        <v>-1.0790781214744319E-2</v>
      </c>
      <c r="R164" s="522">
        <f>Tabuľka1578[[#This Row],[Priemer]]</f>
        <v>-1.0790781214744319E-2</v>
      </c>
      <c r="S164" s="522">
        <f>Tabuľka1578[[#This Row],[2023]]</f>
        <v>-1.0790781214744319E-2</v>
      </c>
      <c r="T164" s="522">
        <f>Tabuľka1578[[#This Row],[2024]]</f>
        <v>-1.0790781214744319E-2</v>
      </c>
      <c r="U164" s="522">
        <f>Tabuľka1578[[#This Row],[2025]]</f>
        <v>-1.0790781214744319E-2</v>
      </c>
      <c r="V164" s="522">
        <f>Tabuľka1578[[#This Row],[2026]]</f>
        <v>-1.0790781214744319E-2</v>
      </c>
      <c r="W164" s="522">
        <f>Tabuľka1578[[#This Row],[2027]]</f>
        <v>-1.0790781214744319E-2</v>
      </c>
      <c r="X164" s="522">
        <f>Tabuľka1578[[#This Row],[2028]]</f>
        <v>-1.0790781214744319E-2</v>
      </c>
      <c r="Y164" s="522">
        <f>Tabuľka1578[[#This Row],[2029]]</f>
        <v>-1.0790781214744319E-2</v>
      </c>
      <c r="Z164" s="522">
        <f>Tabuľka1578[[#This Row],[2030]]</f>
        <v>-1.0790781214744319E-2</v>
      </c>
      <c r="AA164" s="522">
        <f>Tabuľka1578[[#This Row],[2031]]</f>
        <v>-1.0790781214744319E-2</v>
      </c>
      <c r="AB164" s="522">
        <f>Tabuľka1578[[#This Row],[2032]]</f>
        <v>-1.0790781214744319E-2</v>
      </c>
    </row>
    <row r="165" spans="2:28">
      <c r="B165" s="539" t="s">
        <v>777</v>
      </c>
      <c r="C165" s="539" t="s">
        <v>41</v>
      </c>
      <c r="D165" s="539" t="s">
        <v>38</v>
      </c>
      <c r="E165" s="540" t="s">
        <v>813</v>
      </c>
      <c r="F165" s="541"/>
      <c r="G165" s="555">
        <f t="shared" ref="G165:P165" si="121">G98/F30</f>
        <v>-2.8619486355534354E-3</v>
      </c>
      <c r="H165" s="555">
        <f t="shared" si="121"/>
        <v>-5.261965306276593E-3</v>
      </c>
      <c r="I165" s="555">
        <f t="shared" si="121"/>
        <v>-1.3920526449000253E-3</v>
      </c>
      <c r="J165" s="555">
        <f t="shared" si="121"/>
        <v>-2.6359143327841844E-3</v>
      </c>
      <c r="K165" s="555">
        <f t="shared" si="121"/>
        <v>-5.0824629615511679E-3</v>
      </c>
      <c r="L165" s="555">
        <f t="shared" si="121"/>
        <v>-2.5797553063778701E-3</v>
      </c>
      <c r="M165" s="555">
        <f t="shared" si="121"/>
        <v>-7.0166453265044816E-3</v>
      </c>
      <c r="N165" s="555">
        <f t="shared" si="121"/>
        <v>-8.484629667835775E-3</v>
      </c>
      <c r="O165" s="555">
        <f t="shared" si="121"/>
        <v>-5.7065570785757018E-2</v>
      </c>
      <c r="P165" s="555">
        <f t="shared" si="121"/>
        <v>-1.0454307229746504E-2</v>
      </c>
      <c r="Q165" s="522">
        <f>AVERAGE(Tabuľka1578[[#This Row],[2013]:[2022]])</f>
        <v>-1.0283525219728706E-2</v>
      </c>
      <c r="R165" s="522">
        <f>Tabuľka1578[[#This Row],[Priemer]]</f>
        <v>-1.0283525219728706E-2</v>
      </c>
      <c r="S165" s="522">
        <f>Tabuľka1578[[#This Row],[2023]]</f>
        <v>-1.0283525219728706E-2</v>
      </c>
      <c r="T165" s="522">
        <f>Tabuľka1578[[#This Row],[2024]]</f>
        <v>-1.0283525219728706E-2</v>
      </c>
      <c r="U165" s="522">
        <f>Tabuľka1578[[#This Row],[2025]]</f>
        <v>-1.0283525219728706E-2</v>
      </c>
      <c r="V165" s="522">
        <f>Tabuľka1578[[#This Row],[2026]]</f>
        <v>-1.0283525219728706E-2</v>
      </c>
      <c r="W165" s="522">
        <f>Tabuľka1578[[#This Row],[2027]]</f>
        <v>-1.0283525219728706E-2</v>
      </c>
      <c r="X165" s="522">
        <f>Tabuľka1578[[#This Row],[2028]]</f>
        <v>-1.0283525219728706E-2</v>
      </c>
      <c r="Y165" s="522">
        <f>Tabuľka1578[[#This Row],[2029]]</f>
        <v>-1.0283525219728706E-2</v>
      </c>
      <c r="Z165" s="522">
        <f>Tabuľka1578[[#This Row],[2030]]</f>
        <v>-1.0283525219728706E-2</v>
      </c>
      <c r="AA165" s="522">
        <f>Tabuľka1578[[#This Row],[2031]]</f>
        <v>-1.0283525219728706E-2</v>
      </c>
      <c r="AB165" s="522">
        <f>Tabuľka1578[[#This Row],[2032]]</f>
        <v>-1.0283525219728706E-2</v>
      </c>
    </row>
    <row r="166" spans="2:28">
      <c r="B166" s="539" t="s">
        <v>45</v>
      </c>
      <c r="C166" s="539" t="s">
        <v>41</v>
      </c>
      <c r="D166" s="539" t="s">
        <v>28</v>
      </c>
      <c r="E166" s="540" t="s">
        <v>46</v>
      </c>
      <c r="F166" s="541"/>
      <c r="G166" s="555">
        <f t="shared" ref="G166:P166" si="122">G99/F31</f>
        <v>-3.256707417914435E-3</v>
      </c>
      <c r="H166" s="555">
        <f t="shared" si="122"/>
        <v>-4.0586591109239194E-3</v>
      </c>
      <c r="I166" s="555">
        <f t="shared" si="122"/>
        <v>-4.6518780515935566E-3</v>
      </c>
      <c r="J166" s="555">
        <f t="shared" si="122"/>
        <v>-3.8109952362559547E-3</v>
      </c>
      <c r="K166" s="555">
        <f t="shared" si="122"/>
        <v>-4.2133016258691551E-3</v>
      </c>
      <c r="L166" s="555">
        <f t="shared" si="122"/>
        <v>-5.1007164365071125E-3</v>
      </c>
      <c r="M166" s="555">
        <f t="shared" si="122"/>
        <v>-1.5915465396908225E-3</v>
      </c>
      <c r="N166" s="555">
        <f t="shared" si="122"/>
        <v>-6.5984607946898725E-3</v>
      </c>
      <c r="O166" s="555">
        <f t="shared" si="122"/>
        <v>2.0808123322986267E-2</v>
      </c>
      <c r="P166" s="555">
        <f t="shared" si="122"/>
        <v>-8.491173817806983E-3</v>
      </c>
      <c r="Q166" s="522">
        <f>AVERAGE(Tabuľka1578[[#This Row],[2013]:[2022]])</f>
        <v>-2.0965315708265544E-3</v>
      </c>
      <c r="R166" s="522">
        <f>Tabuľka1578[[#This Row],[Priemer]]</f>
        <v>-2.0965315708265544E-3</v>
      </c>
      <c r="S166" s="522">
        <f>Tabuľka1578[[#This Row],[2023]]</f>
        <v>-2.0965315708265544E-3</v>
      </c>
      <c r="T166" s="522">
        <f>Tabuľka1578[[#This Row],[2024]]</f>
        <v>-2.0965315708265544E-3</v>
      </c>
      <c r="U166" s="522">
        <f>Tabuľka1578[[#This Row],[2025]]</f>
        <v>-2.0965315708265544E-3</v>
      </c>
      <c r="V166" s="522">
        <f>Tabuľka1578[[#This Row],[2026]]</f>
        <v>-2.0965315708265544E-3</v>
      </c>
      <c r="W166" s="522">
        <f>Tabuľka1578[[#This Row],[2027]]</f>
        <v>-2.0965315708265544E-3</v>
      </c>
      <c r="X166" s="522">
        <f>Tabuľka1578[[#This Row],[2028]]</f>
        <v>-2.0965315708265544E-3</v>
      </c>
      <c r="Y166" s="522">
        <f>Tabuľka1578[[#This Row],[2029]]</f>
        <v>-2.0965315708265544E-3</v>
      </c>
      <c r="Z166" s="522">
        <f>Tabuľka1578[[#This Row],[2030]]</f>
        <v>-2.0965315708265544E-3</v>
      </c>
      <c r="AA166" s="522">
        <f>Tabuľka1578[[#This Row],[2031]]</f>
        <v>-2.0965315708265544E-3</v>
      </c>
      <c r="AB166" s="522">
        <f>Tabuľka1578[[#This Row],[2032]]</f>
        <v>-2.0965315708265544E-3</v>
      </c>
    </row>
    <row r="167" spans="2:28">
      <c r="B167" s="539" t="s">
        <v>778</v>
      </c>
      <c r="C167" s="539" t="s">
        <v>41</v>
      </c>
      <c r="D167" s="539" t="s">
        <v>23</v>
      </c>
      <c r="E167" s="540" t="s">
        <v>818</v>
      </c>
      <c r="F167" s="541"/>
      <c r="G167" s="555">
        <f t="shared" ref="G167:P167" si="123">G100/F32</f>
        <v>-2.0740740740740741E-3</v>
      </c>
      <c r="H167" s="555">
        <f t="shared" si="123"/>
        <v>-4.4041963578780683E-3</v>
      </c>
      <c r="I167" s="555">
        <f t="shared" si="123"/>
        <v>-1.7396490879268353E-3</v>
      </c>
      <c r="J167" s="555">
        <f t="shared" si="123"/>
        <v>7.4686317466640109E-4</v>
      </c>
      <c r="K167" s="555">
        <f t="shared" si="123"/>
        <v>-1.6418727299865666E-3</v>
      </c>
      <c r="L167" s="555">
        <f t="shared" si="123"/>
        <v>-1.4452307385627429E-3</v>
      </c>
      <c r="M167" s="555">
        <f t="shared" si="123"/>
        <v>1.6968608075061137E-3</v>
      </c>
      <c r="N167" s="555">
        <f t="shared" si="123"/>
        <v>2.9893876737581583E-4</v>
      </c>
      <c r="O167" s="555">
        <f t="shared" si="123"/>
        <v>-2.9287244110175824E-2</v>
      </c>
      <c r="P167" s="555">
        <f t="shared" si="123"/>
        <v>-6.8756734568217971E-3</v>
      </c>
      <c r="Q167" s="522">
        <f>AVERAGE(Tabuľka1578[[#This Row],[2013]:[2022]])</f>
        <v>-4.4725277805877572E-3</v>
      </c>
      <c r="R167" s="522">
        <f>Tabuľka1578[[#This Row],[Priemer]]</f>
        <v>-4.4725277805877572E-3</v>
      </c>
      <c r="S167" s="522">
        <f>Tabuľka1578[[#This Row],[2023]]</f>
        <v>-4.4725277805877572E-3</v>
      </c>
      <c r="T167" s="522">
        <f>Tabuľka1578[[#This Row],[2024]]</f>
        <v>-4.4725277805877572E-3</v>
      </c>
      <c r="U167" s="522">
        <f>Tabuľka1578[[#This Row],[2025]]</f>
        <v>-4.4725277805877572E-3</v>
      </c>
      <c r="V167" s="522">
        <f>Tabuľka1578[[#This Row],[2026]]</f>
        <v>-4.4725277805877572E-3</v>
      </c>
      <c r="W167" s="522">
        <f>Tabuľka1578[[#This Row],[2027]]</f>
        <v>-4.4725277805877572E-3</v>
      </c>
      <c r="X167" s="522">
        <f>Tabuľka1578[[#This Row],[2028]]</f>
        <v>-4.4725277805877572E-3</v>
      </c>
      <c r="Y167" s="522">
        <f>Tabuľka1578[[#This Row],[2029]]</f>
        <v>-4.4725277805877572E-3</v>
      </c>
      <c r="Z167" s="522">
        <f>Tabuľka1578[[#This Row],[2030]]</f>
        <v>-4.4725277805877572E-3</v>
      </c>
      <c r="AA167" s="522">
        <f>Tabuľka1578[[#This Row],[2031]]</f>
        <v>-4.4725277805877572E-3</v>
      </c>
      <c r="AB167" s="522">
        <f>Tabuľka1578[[#This Row],[2032]]</f>
        <v>-4.4725277805877572E-3</v>
      </c>
    </row>
    <row r="168" spans="2:28">
      <c r="B168" s="539" t="s">
        <v>779</v>
      </c>
      <c r="C168" s="539" t="s">
        <v>41</v>
      </c>
      <c r="D168" s="539" t="s">
        <v>28</v>
      </c>
      <c r="E168" s="540" t="s">
        <v>814</v>
      </c>
      <c r="F168" s="541"/>
      <c r="G168" s="555">
        <f t="shared" ref="G168:P168" si="124">G101/F33</f>
        <v>-3.9113097808142639E-3</v>
      </c>
      <c r="H168" s="555">
        <f t="shared" si="124"/>
        <v>-7.0884010301129558E-3</v>
      </c>
      <c r="I168" s="555">
        <f t="shared" si="124"/>
        <v>-5.6495724300865413E-3</v>
      </c>
      <c r="J168" s="555">
        <f t="shared" si="124"/>
        <v>-6.0690581338291886E-3</v>
      </c>
      <c r="K168" s="555">
        <f t="shared" si="124"/>
        <v>-8.1588109962064132E-3</v>
      </c>
      <c r="L168" s="555">
        <f t="shared" si="124"/>
        <v>-7.1518390443256839E-3</v>
      </c>
      <c r="M168" s="555">
        <f t="shared" si="124"/>
        <v>-1.0211351222987414E-2</v>
      </c>
      <c r="N168" s="555">
        <f t="shared" si="124"/>
        <v>-8.5039454041373422E-3</v>
      </c>
      <c r="O168" s="555">
        <f t="shared" si="124"/>
        <v>2.0702820423197914E-3</v>
      </c>
      <c r="P168" s="555">
        <f t="shared" si="124"/>
        <v>-1.3120472229675342E-2</v>
      </c>
      <c r="Q168" s="522">
        <f>AVERAGE(Tabuľka1578[[#This Row],[2013]:[2022]])</f>
        <v>-6.7794478229855348E-3</v>
      </c>
      <c r="R168" s="522">
        <f>Tabuľka1578[[#This Row],[Priemer]]</f>
        <v>-6.7794478229855348E-3</v>
      </c>
      <c r="S168" s="522">
        <f>Tabuľka1578[[#This Row],[2023]]</f>
        <v>-6.7794478229855348E-3</v>
      </c>
      <c r="T168" s="522">
        <f>Tabuľka1578[[#This Row],[2024]]</f>
        <v>-6.7794478229855348E-3</v>
      </c>
      <c r="U168" s="522">
        <f>Tabuľka1578[[#This Row],[2025]]</f>
        <v>-6.7794478229855348E-3</v>
      </c>
      <c r="V168" s="522">
        <f>Tabuľka1578[[#This Row],[2026]]</f>
        <v>-6.7794478229855348E-3</v>
      </c>
      <c r="W168" s="522">
        <f>Tabuľka1578[[#This Row],[2027]]</f>
        <v>-6.7794478229855348E-3</v>
      </c>
      <c r="X168" s="522">
        <f>Tabuľka1578[[#This Row],[2028]]</f>
        <v>-6.7794478229855348E-3</v>
      </c>
      <c r="Y168" s="522">
        <f>Tabuľka1578[[#This Row],[2029]]</f>
        <v>-6.7794478229855348E-3</v>
      </c>
      <c r="Z168" s="522">
        <f>Tabuľka1578[[#This Row],[2030]]</f>
        <v>-6.7794478229855348E-3</v>
      </c>
      <c r="AA168" s="522">
        <f>Tabuľka1578[[#This Row],[2031]]</f>
        <v>-6.7794478229855348E-3</v>
      </c>
      <c r="AB168" s="522">
        <f>Tabuľka1578[[#This Row],[2032]]</f>
        <v>-6.7794478229855348E-3</v>
      </c>
    </row>
    <row r="169" spans="2:28">
      <c r="B169" s="539" t="s">
        <v>780</v>
      </c>
      <c r="C169" s="539" t="s">
        <v>41</v>
      </c>
      <c r="D169" s="539" t="s">
        <v>23</v>
      </c>
      <c r="E169" s="540" t="s">
        <v>24</v>
      </c>
      <c r="F169" s="541"/>
      <c r="G169" s="555">
        <f t="shared" ref="G169:P169" si="125">G102/F34</f>
        <v>-6.3285834031852469E-3</v>
      </c>
      <c r="H169" s="555">
        <f t="shared" si="125"/>
        <v>-1.1514614703277236E-2</v>
      </c>
      <c r="I169" s="555">
        <f t="shared" si="125"/>
        <v>-8.0645161290322578E-3</v>
      </c>
      <c r="J169" s="555">
        <f t="shared" si="125"/>
        <v>-1.0668043188368392E-2</v>
      </c>
      <c r="K169" s="555">
        <f t="shared" si="125"/>
        <v>-1.504413235358059E-2</v>
      </c>
      <c r="L169" s="555">
        <f t="shared" si="125"/>
        <v>-8.7405641636869296E-3</v>
      </c>
      <c r="M169" s="555">
        <f t="shared" si="125"/>
        <v>-8.2832331329325323E-3</v>
      </c>
      <c r="N169" s="555">
        <f t="shared" si="125"/>
        <v>-9.475055009205622E-3</v>
      </c>
      <c r="O169" s="555">
        <f t="shared" si="125"/>
        <v>-3.9985492791730894E-2</v>
      </c>
      <c r="P169" s="555">
        <f t="shared" si="125"/>
        <v>-1.4403097846618813E-2</v>
      </c>
      <c r="Q169" s="522">
        <f>AVERAGE(Tabuľka1578[[#This Row],[2013]:[2022]])</f>
        <v>-1.3250733272161849E-2</v>
      </c>
      <c r="R169" s="522">
        <f>Tabuľka1578[[#This Row],[Priemer]]</f>
        <v>-1.3250733272161849E-2</v>
      </c>
      <c r="S169" s="522">
        <f>Tabuľka1578[[#This Row],[2023]]</f>
        <v>-1.3250733272161849E-2</v>
      </c>
      <c r="T169" s="522">
        <f>Tabuľka1578[[#This Row],[2024]]</f>
        <v>-1.3250733272161849E-2</v>
      </c>
      <c r="U169" s="522">
        <f>Tabuľka1578[[#This Row],[2025]]</f>
        <v>-1.3250733272161849E-2</v>
      </c>
      <c r="V169" s="522">
        <f>Tabuľka1578[[#This Row],[2026]]</f>
        <v>-1.3250733272161849E-2</v>
      </c>
      <c r="W169" s="522">
        <f>Tabuľka1578[[#This Row],[2027]]</f>
        <v>-1.3250733272161849E-2</v>
      </c>
      <c r="X169" s="522">
        <f>Tabuľka1578[[#This Row],[2028]]</f>
        <v>-1.3250733272161849E-2</v>
      </c>
      <c r="Y169" s="522">
        <f>Tabuľka1578[[#This Row],[2029]]</f>
        <v>-1.3250733272161849E-2</v>
      </c>
      <c r="Z169" s="522">
        <f>Tabuľka1578[[#This Row],[2030]]</f>
        <v>-1.3250733272161849E-2</v>
      </c>
      <c r="AA169" s="522">
        <f>Tabuľka1578[[#This Row],[2031]]</f>
        <v>-1.3250733272161849E-2</v>
      </c>
      <c r="AB169" s="522">
        <f>Tabuľka1578[[#This Row],[2032]]</f>
        <v>-1.3250733272161849E-2</v>
      </c>
    </row>
    <row r="170" spans="2:28">
      <c r="B170" s="539" t="s">
        <v>781</v>
      </c>
      <c r="C170" s="539" t="s">
        <v>41</v>
      </c>
      <c r="D170" s="539" t="s">
        <v>18</v>
      </c>
      <c r="E170" s="540" t="s">
        <v>819</v>
      </c>
      <c r="F170" s="541"/>
      <c r="G170" s="555">
        <f t="shared" ref="G170:P170" si="126">G103/F35</f>
        <v>1.59475543983634E-2</v>
      </c>
      <c r="H170" s="555">
        <f t="shared" si="126"/>
        <v>1.2722529861333577E-2</v>
      </c>
      <c r="I170" s="555">
        <f t="shared" si="126"/>
        <v>1.527407474354919E-2</v>
      </c>
      <c r="J170" s="555">
        <f t="shared" si="126"/>
        <v>7.3886144122490768E-3</v>
      </c>
      <c r="K170" s="555">
        <f t="shared" si="126"/>
        <v>1.0073786064595944E-2</v>
      </c>
      <c r="L170" s="555">
        <f t="shared" si="126"/>
        <v>6.1677091990726563E-3</v>
      </c>
      <c r="M170" s="555">
        <f t="shared" si="126"/>
        <v>1.3911833753586646E-3</v>
      </c>
      <c r="N170" s="555">
        <f t="shared" si="126"/>
        <v>-1.3024225058609013E-3</v>
      </c>
      <c r="O170" s="555">
        <f t="shared" si="126"/>
        <v>7.9725265171274567E-2</v>
      </c>
      <c r="P170" s="555">
        <f t="shared" si="126"/>
        <v>-8.8976568161687735E-3</v>
      </c>
      <c r="Q170" s="522">
        <f>AVERAGE(Tabuľka1578[[#This Row],[2013]:[2022]])</f>
        <v>1.384906379037674E-2</v>
      </c>
      <c r="R170" s="522">
        <f>Tabuľka1578[[#This Row],[Priemer]]</f>
        <v>1.384906379037674E-2</v>
      </c>
      <c r="S170" s="522">
        <f>Tabuľka1578[[#This Row],[2023]]</f>
        <v>1.384906379037674E-2</v>
      </c>
      <c r="T170" s="522">
        <f>Tabuľka1578[[#This Row],[2024]]</f>
        <v>1.384906379037674E-2</v>
      </c>
      <c r="U170" s="522">
        <f>Tabuľka1578[[#This Row],[2025]]</f>
        <v>1.384906379037674E-2</v>
      </c>
      <c r="V170" s="522">
        <f>Tabuľka1578[[#This Row],[2026]]</f>
        <v>1.384906379037674E-2</v>
      </c>
      <c r="W170" s="522">
        <f>Tabuľka1578[[#This Row],[2027]]</f>
        <v>1.384906379037674E-2</v>
      </c>
      <c r="X170" s="522">
        <f>Tabuľka1578[[#This Row],[2028]]</f>
        <v>1.384906379037674E-2</v>
      </c>
      <c r="Y170" s="522">
        <f>Tabuľka1578[[#This Row],[2029]]</f>
        <v>1.384906379037674E-2</v>
      </c>
      <c r="Z170" s="522">
        <f>Tabuľka1578[[#This Row],[2030]]</f>
        <v>1.384906379037674E-2</v>
      </c>
      <c r="AA170" s="522">
        <f>Tabuľka1578[[#This Row],[2031]]</f>
        <v>1.384906379037674E-2</v>
      </c>
      <c r="AB170" s="522">
        <f>Tabuľka1578[[#This Row],[2032]]</f>
        <v>1.384906379037674E-2</v>
      </c>
    </row>
    <row r="171" spans="2:28">
      <c r="B171" s="539" t="s">
        <v>782</v>
      </c>
      <c r="C171" s="539" t="s">
        <v>41</v>
      </c>
      <c r="D171" s="539" t="s">
        <v>20</v>
      </c>
      <c r="E171" s="540" t="s">
        <v>21</v>
      </c>
      <c r="F171" s="541"/>
      <c r="G171" s="555">
        <f t="shared" ref="G171:P171" si="127">G104/F36</f>
        <v>-3.6235745497175745E-3</v>
      </c>
      <c r="H171" s="555">
        <f t="shared" si="127"/>
        <v>-1.7470674225407352E-3</v>
      </c>
      <c r="I171" s="555">
        <f t="shared" si="127"/>
        <v>-5.1075076791199372E-3</v>
      </c>
      <c r="J171" s="555">
        <f t="shared" si="127"/>
        <v>-2.8002154011847065E-3</v>
      </c>
      <c r="K171" s="555">
        <f t="shared" si="127"/>
        <v>-3.9961118911329514E-3</v>
      </c>
      <c r="L171" s="555">
        <f t="shared" si="127"/>
        <v>-4.7711993060073734E-3</v>
      </c>
      <c r="M171" s="555">
        <f t="shared" si="127"/>
        <v>-7.1911091741120071E-3</v>
      </c>
      <c r="N171" s="555">
        <f t="shared" si="127"/>
        <v>-7.1700321919812701E-3</v>
      </c>
      <c r="O171" s="555">
        <f t="shared" si="127"/>
        <v>6.1532792925571116E-3</v>
      </c>
      <c r="P171" s="555">
        <f t="shared" si="127"/>
        <v>-9.1551616801552708E-3</v>
      </c>
      <c r="Q171" s="522">
        <f>AVERAGE(Tabuľka1578[[#This Row],[2013]:[2022]])</f>
        <v>-3.9408700003394715E-3</v>
      </c>
      <c r="R171" s="522">
        <f>Tabuľka1578[[#This Row],[Priemer]]</f>
        <v>-3.9408700003394715E-3</v>
      </c>
      <c r="S171" s="522">
        <f>Tabuľka1578[[#This Row],[2023]]</f>
        <v>-3.9408700003394715E-3</v>
      </c>
      <c r="T171" s="522">
        <f>Tabuľka1578[[#This Row],[2024]]</f>
        <v>-3.9408700003394715E-3</v>
      </c>
      <c r="U171" s="522">
        <f>Tabuľka1578[[#This Row],[2025]]</f>
        <v>-3.9408700003394715E-3</v>
      </c>
      <c r="V171" s="522">
        <f>Tabuľka1578[[#This Row],[2026]]</f>
        <v>-3.9408700003394715E-3</v>
      </c>
      <c r="W171" s="522">
        <f>Tabuľka1578[[#This Row],[2027]]</f>
        <v>-3.9408700003394715E-3</v>
      </c>
      <c r="X171" s="522">
        <f>Tabuľka1578[[#This Row],[2028]]</f>
        <v>-3.9408700003394715E-3</v>
      </c>
      <c r="Y171" s="522">
        <f>Tabuľka1578[[#This Row],[2029]]</f>
        <v>-3.9408700003394715E-3</v>
      </c>
      <c r="Z171" s="522">
        <f>Tabuľka1578[[#This Row],[2030]]</f>
        <v>-3.9408700003394715E-3</v>
      </c>
      <c r="AA171" s="522">
        <f>Tabuľka1578[[#This Row],[2031]]</f>
        <v>-3.9408700003394715E-3</v>
      </c>
      <c r="AB171" s="522">
        <f>Tabuľka1578[[#This Row],[2032]]</f>
        <v>-3.9408700003394715E-3</v>
      </c>
    </row>
    <row r="172" spans="2:28">
      <c r="B172" s="539" t="s">
        <v>48</v>
      </c>
      <c r="C172" s="539" t="s">
        <v>41</v>
      </c>
      <c r="D172" s="539" t="s">
        <v>34</v>
      </c>
      <c r="E172" s="540" t="s">
        <v>35</v>
      </c>
      <c r="F172" s="541"/>
      <c r="G172" s="555">
        <f t="shared" ref="G172:P172" si="128">G105/F37</f>
        <v>-2.1036672036387756E-3</v>
      </c>
      <c r="H172" s="555">
        <f t="shared" si="128"/>
        <v>-6.4192653929426068E-3</v>
      </c>
      <c r="I172" s="555">
        <f t="shared" si="128"/>
        <v>-5.3329765272574353E-3</v>
      </c>
      <c r="J172" s="555">
        <f t="shared" si="128"/>
        <v>-5.5153064165881964E-3</v>
      </c>
      <c r="K172" s="555">
        <f t="shared" si="128"/>
        <v>-5.101449275362319E-3</v>
      </c>
      <c r="L172" s="555">
        <f t="shared" si="128"/>
        <v>-3.5349415375053412E-3</v>
      </c>
      <c r="M172" s="555">
        <f t="shared" si="128"/>
        <v>-1.3449243723686263E-3</v>
      </c>
      <c r="N172" s="555">
        <f t="shared" si="128"/>
        <v>-4.6257441202303112E-3</v>
      </c>
      <c r="O172" s="555">
        <f t="shared" si="128"/>
        <v>-3.0746303776618692E-2</v>
      </c>
      <c r="P172" s="555">
        <f t="shared" si="128"/>
        <v>-6.8581832895003034E-3</v>
      </c>
      <c r="Q172" s="522">
        <f>AVERAGE(Tabuľka1578[[#This Row],[2013]:[2022]])</f>
        <v>-7.1582761912012596E-3</v>
      </c>
      <c r="R172" s="522">
        <f>Tabuľka1578[[#This Row],[Priemer]]</f>
        <v>-7.1582761912012596E-3</v>
      </c>
      <c r="S172" s="522">
        <f>Tabuľka1578[[#This Row],[2023]]</f>
        <v>-7.1582761912012596E-3</v>
      </c>
      <c r="T172" s="522">
        <f>Tabuľka1578[[#This Row],[2024]]</f>
        <v>-7.1582761912012596E-3</v>
      </c>
      <c r="U172" s="522">
        <f>Tabuľka1578[[#This Row],[2025]]</f>
        <v>-7.1582761912012596E-3</v>
      </c>
      <c r="V172" s="522">
        <f>Tabuľka1578[[#This Row],[2026]]</f>
        <v>-7.1582761912012596E-3</v>
      </c>
      <c r="W172" s="522">
        <f>Tabuľka1578[[#This Row],[2027]]</f>
        <v>-7.1582761912012596E-3</v>
      </c>
      <c r="X172" s="522">
        <f>Tabuľka1578[[#This Row],[2028]]</f>
        <v>-7.1582761912012596E-3</v>
      </c>
      <c r="Y172" s="522">
        <f>Tabuľka1578[[#This Row],[2029]]</f>
        <v>-7.1582761912012596E-3</v>
      </c>
      <c r="Z172" s="522">
        <f>Tabuľka1578[[#This Row],[2030]]</f>
        <v>-7.1582761912012596E-3</v>
      </c>
      <c r="AA172" s="522">
        <f>Tabuľka1578[[#This Row],[2031]]</f>
        <v>-7.1582761912012596E-3</v>
      </c>
      <c r="AB172" s="522">
        <f>Tabuľka1578[[#This Row],[2032]]</f>
        <v>-7.1582761912012596E-3</v>
      </c>
    </row>
    <row r="173" spans="2:28">
      <c r="B173" s="539" t="s">
        <v>50</v>
      </c>
      <c r="C173" s="539" t="s">
        <v>41</v>
      </c>
      <c r="D173" s="539" t="s">
        <v>23</v>
      </c>
      <c r="E173" s="540" t="s">
        <v>51</v>
      </c>
      <c r="F173" s="541"/>
      <c r="G173" s="555">
        <f t="shared" ref="G173:P173" si="129">G106/F38</f>
        <v>-4.0261578253867553E-3</v>
      </c>
      <c r="H173" s="555">
        <f t="shared" si="129"/>
        <v>-6.0758997476541635E-3</v>
      </c>
      <c r="I173" s="555">
        <f t="shared" si="129"/>
        <v>-4.8312751115383665E-3</v>
      </c>
      <c r="J173" s="555">
        <f t="shared" si="129"/>
        <v>-7.3811705843013897E-3</v>
      </c>
      <c r="K173" s="555">
        <f t="shared" si="129"/>
        <v>-5.9388646288209609E-3</v>
      </c>
      <c r="L173" s="555">
        <f t="shared" si="129"/>
        <v>-6.7274142129176394E-3</v>
      </c>
      <c r="M173" s="555">
        <f t="shared" si="129"/>
        <v>-7.5564204301347016E-3</v>
      </c>
      <c r="N173" s="555">
        <f t="shared" si="129"/>
        <v>-8.4797555385790688E-3</v>
      </c>
      <c r="O173" s="555">
        <f t="shared" si="129"/>
        <v>-2.0854200374964688E-2</v>
      </c>
      <c r="P173" s="555">
        <f t="shared" si="129"/>
        <v>-1.099016393442623E-2</v>
      </c>
      <c r="Q173" s="522">
        <f>AVERAGE(Tabuľka1578[[#This Row],[2013]:[2022]])</f>
        <v>-8.2861322388723957E-3</v>
      </c>
      <c r="R173" s="522">
        <f>Tabuľka1578[[#This Row],[Priemer]]</f>
        <v>-8.2861322388723957E-3</v>
      </c>
      <c r="S173" s="522">
        <f>Tabuľka1578[[#This Row],[2023]]</f>
        <v>-8.2861322388723957E-3</v>
      </c>
      <c r="T173" s="522">
        <f>Tabuľka1578[[#This Row],[2024]]</f>
        <v>-8.2861322388723957E-3</v>
      </c>
      <c r="U173" s="522">
        <f>Tabuľka1578[[#This Row],[2025]]</f>
        <v>-8.2861322388723957E-3</v>
      </c>
      <c r="V173" s="522">
        <f>Tabuľka1578[[#This Row],[2026]]</f>
        <v>-8.2861322388723957E-3</v>
      </c>
      <c r="W173" s="522">
        <f>Tabuľka1578[[#This Row],[2027]]</f>
        <v>-8.2861322388723957E-3</v>
      </c>
      <c r="X173" s="522">
        <f>Tabuľka1578[[#This Row],[2028]]</f>
        <v>-8.2861322388723957E-3</v>
      </c>
      <c r="Y173" s="522">
        <f>Tabuľka1578[[#This Row],[2029]]</f>
        <v>-8.2861322388723957E-3</v>
      </c>
      <c r="Z173" s="522">
        <f>Tabuľka1578[[#This Row],[2030]]</f>
        <v>-8.2861322388723957E-3</v>
      </c>
      <c r="AA173" s="522">
        <f>Tabuľka1578[[#This Row],[2031]]</f>
        <v>-8.2861322388723957E-3</v>
      </c>
      <c r="AB173" s="522">
        <f>Tabuľka1578[[#This Row],[2032]]</f>
        <v>-8.2861322388723957E-3</v>
      </c>
    </row>
    <row r="174" spans="2:28">
      <c r="B174" s="539" t="s">
        <v>47</v>
      </c>
      <c r="C174" s="539" t="s">
        <v>41</v>
      </c>
      <c r="D174" s="539" t="s">
        <v>34</v>
      </c>
      <c r="E174" s="540" t="s">
        <v>817</v>
      </c>
      <c r="F174" s="541"/>
      <c r="G174" s="555">
        <f t="shared" ref="G174:P174" si="130">G107/F39</f>
        <v>-4.6961205009195201E-3</v>
      </c>
      <c r="H174" s="555">
        <f t="shared" si="130"/>
        <v>-8.0947615014902718E-3</v>
      </c>
      <c r="I174" s="555">
        <f t="shared" si="130"/>
        <v>-2.5280805437590784E-3</v>
      </c>
      <c r="J174" s="555">
        <f t="shared" si="130"/>
        <v>-3.7906157249413624E-3</v>
      </c>
      <c r="K174" s="555">
        <f t="shared" si="130"/>
        <v>-5.3560668615679884E-3</v>
      </c>
      <c r="L174" s="555">
        <f t="shared" si="130"/>
        <v>-5.1381004734232317E-3</v>
      </c>
      <c r="M174" s="555">
        <f t="shared" si="130"/>
        <v>-2.4357239512855212E-3</v>
      </c>
      <c r="N174" s="555">
        <f t="shared" si="130"/>
        <v>-6.5337312353047567E-3</v>
      </c>
      <c r="O174" s="555">
        <f t="shared" si="130"/>
        <v>-4.5388343991079355E-2</v>
      </c>
      <c r="P174" s="555">
        <f t="shared" si="130"/>
        <v>-1.1561796011776345E-2</v>
      </c>
      <c r="Q174" s="522">
        <f>AVERAGE(Tabuľka1578[[#This Row],[2013]:[2022]])</f>
        <v>-9.5523340795547421E-3</v>
      </c>
      <c r="R174" s="522">
        <f>Tabuľka1578[[#This Row],[Priemer]]</f>
        <v>-9.5523340795547421E-3</v>
      </c>
      <c r="S174" s="522">
        <f>Tabuľka1578[[#This Row],[2023]]</f>
        <v>-9.5523340795547421E-3</v>
      </c>
      <c r="T174" s="522">
        <f>Tabuľka1578[[#This Row],[2024]]</f>
        <v>-9.5523340795547421E-3</v>
      </c>
      <c r="U174" s="522">
        <f>Tabuľka1578[[#This Row],[2025]]</f>
        <v>-9.5523340795547421E-3</v>
      </c>
      <c r="V174" s="522">
        <f>Tabuľka1578[[#This Row],[2026]]</f>
        <v>-9.5523340795547421E-3</v>
      </c>
      <c r="W174" s="522">
        <f>Tabuľka1578[[#This Row],[2027]]</f>
        <v>-9.5523340795547421E-3</v>
      </c>
      <c r="X174" s="522">
        <f>Tabuľka1578[[#This Row],[2028]]</f>
        <v>-9.5523340795547421E-3</v>
      </c>
      <c r="Y174" s="522">
        <f>Tabuľka1578[[#This Row],[2029]]</f>
        <v>-9.5523340795547421E-3</v>
      </c>
      <c r="Z174" s="522">
        <f>Tabuľka1578[[#This Row],[2030]]</f>
        <v>-9.5523340795547421E-3</v>
      </c>
      <c r="AA174" s="522">
        <f>Tabuľka1578[[#This Row],[2031]]</f>
        <v>-9.5523340795547421E-3</v>
      </c>
      <c r="AB174" s="522">
        <f>Tabuľka1578[[#This Row],[2032]]</f>
        <v>-9.5523340795547421E-3</v>
      </c>
    </row>
    <row r="175" spans="2:28">
      <c r="B175" s="539" t="s">
        <v>52</v>
      </c>
      <c r="C175" s="539" t="s">
        <v>41</v>
      </c>
      <c r="D175" s="539" t="s">
        <v>23</v>
      </c>
      <c r="E175" s="540" t="s">
        <v>24</v>
      </c>
      <c r="F175" s="541"/>
      <c r="G175" s="555">
        <f t="shared" ref="G175:P175" si="131">G108/F40</f>
        <v>-7.9350357591871229E-3</v>
      </c>
      <c r="H175" s="555">
        <f t="shared" si="131"/>
        <v>-1.1634187892134457E-2</v>
      </c>
      <c r="I175" s="555">
        <f t="shared" si="131"/>
        <v>-9.0595703535544629E-3</v>
      </c>
      <c r="J175" s="555">
        <f t="shared" si="131"/>
        <v>-6.6393738200793331E-3</v>
      </c>
      <c r="K175" s="555">
        <f t="shared" si="131"/>
        <v>-9.0113175314969034E-3</v>
      </c>
      <c r="L175" s="555">
        <f t="shared" si="131"/>
        <v>-7.5202551284261334E-3</v>
      </c>
      <c r="M175" s="555">
        <f t="shared" si="131"/>
        <v>-9.2272954254325971E-3</v>
      </c>
      <c r="N175" s="555">
        <f t="shared" si="131"/>
        <v>-1.0803348380593417E-2</v>
      </c>
      <c r="O175" s="555">
        <f t="shared" si="131"/>
        <v>-1.7412108725991891E-2</v>
      </c>
      <c r="P175" s="555">
        <f t="shared" si="131"/>
        <v>-1.600721451921993E-2</v>
      </c>
      <c r="Q175" s="522">
        <f>AVERAGE(Tabuľka1578[[#This Row],[2013]:[2022]])</f>
        <v>-1.0524970753611623E-2</v>
      </c>
      <c r="R175" s="522">
        <f>Tabuľka1578[[#This Row],[Priemer]]</f>
        <v>-1.0524970753611623E-2</v>
      </c>
      <c r="S175" s="522">
        <f>Tabuľka1578[[#This Row],[2023]]</f>
        <v>-1.0524970753611623E-2</v>
      </c>
      <c r="T175" s="522">
        <f>Tabuľka1578[[#This Row],[2024]]</f>
        <v>-1.0524970753611623E-2</v>
      </c>
      <c r="U175" s="522">
        <f>Tabuľka1578[[#This Row],[2025]]</f>
        <v>-1.0524970753611623E-2</v>
      </c>
      <c r="V175" s="522">
        <f>Tabuľka1578[[#This Row],[2026]]</f>
        <v>-1.0524970753611623E-2</v>
      </c>
      <c r="W175" s="522">
        <f>Tabuľka1578[[#This Row],[2027]]</f>
        <v>-1.0524970753611623E-2</v>
      </c>
      <c r="X175" s="522">
        <f>Tabuľka1578[[#This Row],[2028]]</f>
        <v>-1.0524970753611623E-2</v>
      </c>
      <c r="Y175" s="522">
        <f>Tabuľka1578[[#This Row],[2029]]</f>
        <v>-1.0524970753611623E-2</v>
      </c>
      <c r="Z175" s="522">
        <f>Tabuľka1578[[#This Row],[2030]]</f>
        <v>-1.0524970753611623E-2</v>
      </c>
      <c r="AA175" s="522">
        <f>Tabuľka1578[[#This Row],[2031]]</f>
        <v>-1.0524970753611623E-2</v>
      </c>
      <c r="AB175" s="522">
        <f>Tabuľka1578[[#This Row],[2032]]</f>
        <v>-1.0524970753611623E-2</v>
      </c>
    </row>
    <row r="176" spans="2:28">
      <c r="B176" s="539" t="s">
        <v>783</v>
      </c>
      <c r="C176" s="539" t="s">
        <v>41</v>
      </c>
      <c r="D176" s="539" t="s">
        <v>23</v>
      </c>
      <c r="E176" s="540" t="s">
        <v>820</v>
      </c>
      <c r="F176" s="541"/>
      <c r="G176" s="555">
        <f t="shared" ref="G176:P176" si="132">G109/F41</f>
        <v>-3.3099795884592044E-4</v>
      </c>
      <c r="H176" s="555">
        <f t="shared" si="132"/>
        <v>-4.6906903592516969E-3</v>
      </c>
      <c r="I176" s="555">
        <f t="shared" si="132"/>
        <v>-4.1029053005100912E-3</v>
      </c>
      <c r="J176" s="555">
        <f t="shared" si="132"/>
        <v>-2.1712504175481571E-3</v>
      </c>
      <c r="K176" s="555">
        <f t="shared" si="132"/>
        <v>-6.3047480890475929E-3</v>
      </c>
      <c r="L176" s="555">
        <f t="shared" si="132"/>
        <v>-4.9410443571027514E-3</v>
      </c>
      <c r="M176" s="555">
        <f t="shared" si="132"/>
        <v>-9.084753413835911E-3</v>
      </c>
      <c r="N176" s="555">
        <f t="shared" si="132"/>
        <v>-8.3138773418370247E-3</v>
      </c>
      <c r="O176" s="555">
        <f t="shared" si="132"/>
        <v>-9.3023255813953487E-3</v>
      </c>
      <c r="P176" s="555">
        <f t="shared" si="132"/>
        <v>-1.072277285109836E-2</v>
      </c>
      <c r="Q176" s="522">
        <f>AVERAGE(Tabuľka1578[[#This Row],[2013]:[2022]])</f>
        <v>-5.9965365670472861E-3</v>
      </c>
      <c r="R176" s="522">
        <f>Tabuľka1578[[#This Row],[Priemer]]</f>
        <v>-5.9965365670472861E-3</v>
      </c>
      <c r="S176" s="522">
        <f>Tabuľka1578[[#This Row],[2023]]</f>
        <v>-5.9965365670472861E-3</v>
      </c>
      <c r="T176" s="522">
        <f>Tabuľka1578[[#This Row],[2024]]</f>
        <v>-5.9965365670472861E-3</v>
      </c>
      <c r="U176" s="522">
        <f>Tabuľka1578[[#This Row],[2025]]</f>
        <v>-5.9965365670472861E-3</v>
      </c>
      <c r="V176" s="522">
        <f>Tabuľka1578[[#This Row],[2026]]</f>
        <v>-5.9965365670472861E-3</v>
      </c>
      <c r="W176" s="522">
        <f>Tabuľka1578[[#This Row],[2027]]</f>
        <v>-5.9965365670472861E-3</v>
      </c>
      <c r="X176" s="522">
        <f>Tabuľka1578[[#This Row],[2028]]</f>
        <v>-5.9965365670472861E-3</v>
      </c>
      <c r="Y176" s="522">
        <f>Tabuľka1578[[#This Row],[2029]]</f>
        <v>-5.9965365670472861E-3</v>
      </c>
      <c r="Z176" s="522">
        <f>Tabuľka1578[[#This Row],[2030]]</f>
        <v>-5.9965365670472861E-3</v>
      </c>
      <c r="AA176" s="522">
        <f>Tabuľka1578[[#This Row],[2031]]</f>
        <v>-5.9965365670472861E-3</v>
      </c>
      <c r="AB176" s="522">
        <f>Tabuľka1578[[#This Row],[2032]]</f>
        <v>-5.9965365670472861E-3</v>
      </c>
    </row>
    <row r="177" spans="2:28">
      <c r="B177" s="539" t="s">
        <v>784</v>
      </c>
      <c r="C177" s="539" t="s">
        <v>41</v>
      </c>
      <c r="D177" s="539" t="s">
        <v>30</v>
      </c>
      <c r="E177" s="540" t="s">
        <v>31</v>
      </c>
      <c r="F177" s="541"/>
      <c r="G177" s="555">
        <f t="shared" ref="G177:P177" si="133">G110/F42</f>
        <v>-5.3978899157602032E-3</v>
      </c>
      <c r="H177" s="555">
        <f t="shared" si="133"/>
        <v>-2.2202121536057892E-3</v>
      </c>
      <c r="I177" s="555">
        <f t="shared" si="133"/>
        <v>-2.1015328828086371E-3</v>
      </c>
      <c r="J177" s="555">
        <f t="shared" si="133"/>
        <v>-3.4273444274683074E-3</v>
      </c>
      <c r="K177" s="555">
        <f t="shared" si="133"/>
        <v>-5.1379796138228224E-3</v>
      </c>
      <c r="L177" s="555">
        <f t="shared" si="133"/>
        <v>-5.0812161599333612E-3</v>
      </c>
      <c r="M177" s="555">
        <f t="shared" si="133"/>
        <v>-5.7350971198928333E-3</v>
      </c>
      <c r="N177" s="555">
        <f t="shared" si="133"/>
        <v>-7.9575596816976128E-3</v>
      </c>
      <c r="O177" s="555">
        <f t="shared" si="133"/>
        <v>-7.2998896528308294E-2</v>
      </c>
      <c r="P177" s="555">
        <f t="shared" si="133"/>
        <v>-1.4421756249427709E-2</v>
      </c>
      <c r="Q177" s="522">
        <f>AVERAGE(Tabuľka1578[[#This Row],[2013]:[2022]])</f>
        <v>-1.2447948473272557E-2</v>
      </c>
      <c r="R177" s="522">
        <f>Tabuľka1578[[#This Row],[Priemer]]</f>
        <v>-1.2447948473272557E-2</v>
      </c>
      <c r="S177" s="522">
        <f>Tabuľka1578[[#This Row],[2023]]</f>
        <v>-1.2447948473272557E-2</v>
      </c>
      <c r="T177" s="522">
        <f>Tabuľka1578[[#This Row],[2024]]</f>
        <v>-1.2447948473272557E-2</v>
      </c>
      <c r="U177" s="522">
        <f>Tabuľka1578[[#This Row],[2025]]</f>
        <v>-1.2447948473272557E-2</v>
      </c>
      <c r="V177" s="522">
        <f>Tabuľka1578[[#This Row],[2026]]</f>
        <v>-1.2447948473272557E-2</v>
      </c>
      <c r="W177" s="522">
        <f>Tabuľka1578[[#This Row],[2027]]</f>
        <v>-1.2447948473272557E-2</v>
      </c>
      <c r="X177" s="522">
        <f>Tabuľka1578[[#This Row],[2028]]</f>
        <v>-1.2447948473272557E-2</v>
      </c>
      <c r="Y177" s="522">
        <f>Tabuľka1578[[#This Row],[2029]]</f>
        <v>-1.2447948473272557E-2</v>
      </c>
      <c r="Z177" s="522">
        <f>Tabuľka1578[[#This Row],[2030]]</f>
        <v>-1.2447948473272557E-2</v>
      </c>
      <c r="AA177" s="522">
        <f>Tabuľka1578[[#This Row],[2031]]</f>
        <v>-1.2447948473272557E-2</v>
      </c>
      <c r="AB177" s="522">
        <f>Tabuľka1578[[#This Row],[2032]]</f>
        <v>-1.2447948473272557E-2</v>
      </c>
    </row>
    <row r="178" spans="2:28">
      <c r="B178" s="539" t="s">
        <v>785</v>
      </c>
      <c r="C178" s="539" t="s">
        <v>41</v>
      </c>
      <c r="D178" s="539" t="s">
        <v>38</v>
      </c>
      <c r="E178" s="540" t="s">
        <v>39</v>
      </c>
      <c r="F178" s="541"/>
      <c r="G178" s="555">
        <f t="shared" ref="G178:P178" si="134">G111/F43</f>
        <v>-7.9849455803071914E-3</v>
      </c>
      <c r="H178" s="555">
        <f t="shared" si="134"/>
        <v>-2.8197897974878237E-3</v>
      </c>
      <c r="I178" s="555">
        <f t="shared" si="134"/>
        <v>-2.7249357326478148E-3</v>
      </c>
      <c r="J178" s="555">
        <f t="shared" si="134"/>
        <v>-5.4647625921534259E-3</v>
      </c>
      <c r="K178" s="555">
        <f t="shared" si="134"/>
        <v>-5.235602094240838E-3</v>
      </c>
      <c r="L178" s="555">
        <f t="shared" si="134"/>
        <v>-4.1688379364252214E-4</v>
      </c>
      <c r="M178" s="555">
        <f t="shared" si="134"/>
        <v>-7.1421123970388904E-3</v>
      </c>
      <c r="N178" s="555">
        <f t="shared" si="134"/>
        <v>-5.4082436334996061E-3</v>
      </c>
      <c r="O178" s="555">
        <f t="shared" si="134"/>
        <v>-8.4204413472706158E-2</v>
      </c>
      <c r="P178" s="555">
        <f t="shared" si="134"/>
        <v>-1.2970542456908976E-2</v>
      </c>
      <c r="Q178" s="522">
        <f>AVERAGE(Tabuľka1578[[#This Row],[2013]:[2022]])</f>
        <v>-1.3437223155063325E-2</v>
      </c>
      <c r="R178" s="522">
        <f>Tabuľka1578[[#This Row],[Priemer]]</f>
        <v>-1.3437223155063325E-2</v>
      </c>
      <c r="S178" s="522">
        <f>Tabuľka1578[[#This Row],[2023]]</f>
        <v>-1.3437223155063325E-2</v>
      </c>
      <c r="T178" s="522">
        <f>Tabuľka1578[[#This Row],[2024]]</f>
        <v>-1.3437223155063325E-2</v>
      </c>
      <c r="U178" s="522">
        <f>Tabuľka1578[[#This Row],[2025]]</f>
        <v>-1.3437223155063325E-2</v>
      </c>
      <c r="V178" s="522">
        <f>Tabuľka1578[[#This Row],[2026]]</f>
        <v>-1.3437223155063325E-2</v>
      </c>
      <c r="W178" s="522">
        <f>Tabuľka1578[[#This Row],[2027]]</f>
        <v>-1.3437223155063325E-2</v>
      </c>
      <c r="X178" s="522">
        <f>Tabuľka1578[[#This Row],[2028]]</f>
        <v>-1.3437223155063325E-2</v>
      </c>
      <c r="Y178" s="522">
        <f>Tabuľka1578[[#This Row],[2029]]</f>
        <v>-1.3437223155063325E-2</v>
      </c>
      <c r="Z178" s="522">
        <f>Tabuľka1578[[#This Row],[2030]]</f>
        <v>-1.3437223155063325E-2</v>
      </c>
      <c r="AA178" s="522">
        <f>Tabuľka1578[[#This Row],[2031]]</f>
        <v>-1.3437223155063325E-2</v>
      </c>
      <c r="AB178" s="522">
        <f>Tabuľka1578[[#This Row],[2032]]</f>
        <v>-1.3437223155063325E-2</v>
      </c>
    </row>
    <row r="179" spans="2:28">
      <c r="B179" s="539" t="s">
        <v>60</v>
      </c>
      <c r="C179" s="539" t="s">
        <v>41</v>
      </c>
      <c r="D179" s="539" t="s">
        <v>26</v>
      </c>
      <c r="E179" s="540" t="s">
        <v>61</v>
      </c>
      <c r="F179" s="541"/>
      <c r="G179" s="555">
        <f t="shared" ref="G179:P179" si="135">G112/F44</f>
        <v>-9.2734055782554628E-3</v>
      </c>
      <c r="H179" s="555">
        <f t="shared" si="135"/>
        <v>-1.194233252044183E-2</v>
      </c>
      <c r="I179" s="555">
        <f t="shared" si="135"/>
        <v>-9.6911182897172522E-3</v>
      </c>
      <c r="J179" s="555">
        <f t="shared" si="135"/>
        <v>-7.5868640961735817E-3</v>
      </c>
      <c r="K179" s="555">
        <f t="shared" si="135"/>
        <v>-8.2357720574657463E-3</v>
      </c>
      <c r="L179" s="555">
        <f t="shared" si="135"/>
        <v>-5.3995680345572351E-3</v>
      </c>
      <c r="M179" s="555">
        <f t="shared" si="135"/>
        <v>-5.6535250290164363E-3</v>
      </c>
      <c r="N179" s="555">
        <f t="shared" si="135"/>
        <v>-7.6436478650500793E-3</v>
      </c>
      <c r="O179" s="555">
        <f t="shared" si="135"/>
        <v>2.6105103395940049E-2</v>
      </c>
      <c r="P179" s="555">
        <f t="shared" si="135"/>
        <v>-9.2075583330251815E-3</v>
      </c>
      <c r="Q179" s="522">
        <f>AVERAGE(Tabuľka1578[[#This Row],[2013]:[2022]])</f>
        <v>-4.8528688407762756E-3</v>
      </c>
      <c r="R179" s="522">
        <f>Tabuľka1578[[#This Row],[Priemer]]</f>
        <v>-4.8528688407762756E-3</v>
      </c>
      <c r="S179" s="522">
        <f>Tabuľka1578[[#This Row],[2023]]</f>
        <v>-4.8528688407762756E-3</v>
      </c>
      <c r="T179" s="522">
        <f>Tabuľka1578[[#This Row],[2024]]</f>
        <v>-4.8528688407762756E-3</v>
      </c>
      <c r="U179" s="522">
        <f>Tabuľka1578[[#This Row],[2025]]</f>
        <v>-4.8528688407762756E-3</v>
      </c>
      <c r="V179" s="522">
        <f>Tabuľka1578[[#This Row],[2026]]</f>
        <v>-4.8528688407762756E-3</v>
      </c>
      <c r="W179" s="522">
        <f>Tabuľka1578[[#This Row],[2027]]</f>
        <v>-4.8528688407762756E-3</v>
      </c>
      <c r="X179" s="522">
        <f>Tabuľka1578[[#This Row],[2028]]</f>
        <v>-4.8528688407762756E-3</v>
      </c>
      <c r="Y179" s="522">
        <f>Tabuľka1578[[#This Row],[2029]]</f>
        <v>-4.8528688407762756E-3</v>
      </c>
      <c r="Z179" s="522">
        <f>Tabuľka1578[[#This Row],[2030]]</f>
        <v>-4.8528688407762756E-3</v>
      </c>
      <c r="AA179" s="522">
        <f>Tabuľka1578[[#This Row],[2031]]</f>
        <v>-4.8528688407762756E-3</v>
      </c>
      <c r="AB179" s="522">
        <f>Tabuľka1578[[#This Row],[2032]]</f>
        <v>-4.8528688407762756E-3</v>
      </c>
    </row>
    <row r="180" spans="2:28">
      <c r="B180" s="539" t="s">
        <v>786</v>
      </c>
      <c r="C180" s="539" t="s">
        <v>41</v>
      </c>
      <c r="D180" s="539" t="s">
        <v>28</v>
      </c>
      <c r="E180" s="540" t="s">
        <v>814</v>
      </c>
      <c r="F180" s="541"/>
      <c r="G180" s="555">
        <f t="shared" ref="G180:P180" si="136">G113/F45</f>
        <v>-6.1915426162560926E-3</v>
      </c>
      <c r="H180" s="555">
        <f t="shared" si="136"/>
        <v>-3.711558854718982E-3</v>
      </c>
      <c r="I180" s="555">
        <f t="shared" si="136"/>
        <v>-7.0516232038318255E-3</v>
      </c>
      <c r="J180" s="555">
        <f t="shared" si="136"/>
        <v>-1.2729465362454777E-2</v>
      </c>
      <c r="K180" s="555">
        <f t="shared" si="136"/>
        <v>-6.3789359391965257E-3</v>
      </c>
      <c r="L180" s="555">
        <f t="shared" si="136"/>
        <v>-1.1337249009698128E-2</v>
      </c>
      <c r="M180" s="555">
        <f t="shared" si="136"/>
        <v>-2.6250345399281569E-3</v>
      </c>
      <c r="N180" s="555">
        <f t="shared" si="136"/>
        <v>-1.3298240753566976E-2</v>
      </c>
      <c r="O180" s="555">
        <f t="shared" si="136"/>
        <v>5.1944405447143056E-3</v>
      </c>
      <c r="P180" s="555">
        <f t="shared" si="136"/>
        <v>-1.2709497206703911E-2</v>
      </c>
      <c r="Q180" s="522">
        <f>AVERAGE(Tabuľka1578[[#This Row],[2013]:[2022]])</f>
        <v>-7.0838706941641072E-3</v>
      </c>
      <c r="R180" s="522">
        <f>Tabuľka1578[[#This Row],[Priemer]]</f>
        <v>-7.0838706941641072E-3</v>
      </c>
      <c r="S180" s="522">
        <f>Tabuľka1578[[#This Row],[2023]]</f>
        <v>-7.0838706941641072E-3</v>
      </c>
      <c r="T180" s="522">
        <f>Tabuľka1578[[#This Row],[2024]]</f>
        <v>-7.0838706941641072E-3</v>
      </c>
      <c r="U180" s="522">
        <f>Tabuľka1578[[#This Row],[2025]]</f>
        <v>-7.0838706941641072E-3</v>
      </c>
      <c r="V180" s="522">
        <f>Tabuľka1578[[#This Row],[2026]]</f>
        <v>-7.0838706941641072E-3</v>
      </c>
      <c r="W180" s="522">
        <f>Tabuľka1578[[#This Row],[2027]]</f>
        <v>-7.0838706941641072E-3</v>
      </c>
      <c r="X180" s="522">
        <f>Tabuľka1578[[#This Row],[2028]]</f>
        <v>-7.0838706941641072E-3</v>
      </c>
      <c r="Y180" s="522">
        <f>Tabuľka1578[[#This Row],[2029]]</f>
        <v>-7.0838706941641072E-3</v>
      </c>
      <c r="Z180" s="522">
        <f>Tabuľka1578[[#This Row],[2030]]</f>
        <v>-7.0838706941641072E-3</v>
      </c>
      <c r="AA180" s="522">
        <f>Tabuľka1578[[#This Row],[2031]]</f>
        <v>-7.0838706941641072E-3</v>
      </c>
      <c r="AB180" s="522">
        <f>Tabuľka1578[[#This Row],[2032]]</f>
        <v>-7.0838706941641072E-3</v>
      </c>
    </row>
    <row r="181" spans="2:28">
      <c r="B181" s="539" t="s">
        <v>787</v>
      </c>
      <c r="C181" s="539" t="s">
        <v>41</v>
      </c>
      <c r="D181" s="539" t="s">
        <v>28</v>
      </c>
      <c r="E181" s="540" t="s">
        <v>814</v>
      </c>
      <c r="F181" s="541"/>
      <c r="G181" s="555">
        <f t="shared" ref="G181:P181" si="137">G114/F46</f>
        <v>-7.3061715660993638E-3</v>
      </c>
      <c r="H181" s="555">
        <f t="shared" si="137"/>
        <v>-6.9270066672439175E-3</v>
      </c>
      <c r="I181" s="555">
        <f t="shared" si="137"/>
        <v>-9.7654547039846551E-3</v>
      </c>
      <c r="J181" s="555">
        <f t="shared" si="137"/>
        <v>-1.1006427753808223E-2</v>
      </c>
      <c r="K181" s="555">
        <f t="shared" si="137"/>
        <v>-1.0906339031339031E-2</v>
      </c>
      <c r="L181" s="555">
        <f t="shared" si="137"/>
        <v>-1.467212745848148E-2</v>
      </c>
      <c r="M181" s="555">
        <f t="shared" si="137"/>
        <v>-9.3180468642945231E-3</v>
      </c>
      <c r="N181" s="555">
        <f t="shared" si="137"/>
        <v>-9.7745400894462629E-3</v>
      </c>
      <c r="O181" s="555">
        <f t="shared" si="137"/>
        <v>-3.0590864645900266E-2</v>
      </c>
      <c r="P181" s="555">
        <f t="shared" si="137"/>
        <v>-1.287223823246878E-2</v>
      </c>
      <c r="Q181" s="522">
        <f>AVERAGE(Tabuľka1578[[#This Row],[2013]:[2022]])</f>
        <v>-1.2313921701306652E-2</v>
      </c>
      <c r="R181" s="522">
        <f>Tabuľka1578[[#This Row],[Priemer]]</f>
        <v>-1.2313921701306652E-2</v>
      </c>
      <c r="S181" s="522">
        <f>Tabuľka1578[[#This Row],[2023]]</f>
        <v>-1.2313921701306652E-2</v>
      </c>
      <c r="T181" s="522">
        <f>Tabuľka1578[[#This Row],[2024]]</f>
        <v>-1.2313921701306652E-2</v>
      </c>
      <c r="U181" s="522">
        <f>Tabuľka1578[[#This Row],[2025]]</f>
        <v>-1.2313921701306652E-2</v>
      </c>
      <c r="V181" s="522">
        <f>Tabuľka1578[[#This Row],[2026]]</f>
        <v>-1.2313921701306652E-2</v>
      </c>
      <c r="W181" s="522">
        <f>Tabuľka1578[[#This Row],[2027]]</f>
        <v>-1.2313921701306652E-2</v>
      </c>
      <c r="X181" s="522">
        <f>Tabuľka1578[[#This Row],[2028]]</f>
        <v>-1.2313921701306652E-2</v>
      </c>
      <c r="Y181" s="522">
        <f>Tabuľka1578[[#This Row],[2029]]</f>
        <v>-1.2313921701306652E-2</v>
      </c>
      <c r="Z181" s="522">
        <f>Tabuľka1578[[#This Row],[2030]]</f>
        <v>-1.2313921701306652E-2</v>
      </c>
      <c r="AA181" s="522">
        <f>Tabuľka1578[[#This Row],[2031]]</f>
        <v>-1.2313921701306652E-2</v>
      </c>
      <c r="AB181" s="522">
        <f>Tabuľka1578[[#This Row],[2032]]</f>
        <v>-1.2313921701306652E-2</v>
      </c>
    </row>
    <row r="182" spans="2:28">
      <c r="B182" s="539" t="s">
        <v>788</v>
      </c>
      <c r="C182" s="539" t="s">
        <v>41</v>
      </c>
      <c r="D182" s="539" t="s">
        <v>18</v>
      </c>
      <c r="E182" s="540" t="s">
        <v>816</v>
      </c>
      <c r="F182" s="541"/>
      <c r="G182" s="555">
        <f t="shared" ref="G182:P182" si="138">G115/F47</f>
        <v>1.3662757599908915E-2</v>
      </c>
      <c r="H182" s="555">
        <f t="shared" si="138"/>
        <v>2.2576659552959677E-2</v>
      </c>
      <c r="I182" s="555">
        <f t="shared" si="138"/>
        <v>2.4714411247803162E-2</v>
      </c>
      <c r="J182" s="555">
        <f t="shared" si="138"/>
        <v>2.2939221781541431E-2</v>
      </c>
      <c r="K182" s="555">
        <f t="shared" si="138"/>
        <v>1.6975793775542283E-2</v>
      </c>
      <c r="L182" s="555">
        <f t="shared" si="138"/>
        <v>1.5507470376094797E-2</v>
      </c>
      <c r="M182" s="555">
        <f t="shared" si="138"/>
        <v>1.2784739485566436E-2</v>
      </c>
      <c r="N182" s="555">
        <f t="shared" si="138"/>
        <v>1.7031508290337124E-3</v>
      </c>
      <c r="O182" s="555">
        <f t="shared" si="138"/>
        <v>6.7010051507726161E-3</v>
      </c>
      <c r="P182" s="555">
        <f t="shared" si="138"/>
        <v>-7.9479409865381746E-4</v>
      </c>
      <c r="Q182" s="522">
        <f>AVERAGE(Tabuľka1578[[#This Row],[2013]:[2022]])</f>
        <v>1.3677041570056923E-2</v>
      </c>
      <c r="R182" s="522">
        <f>Tabuľka1578[[#This Row],[Priemer]]</f>
        <v>1.3677041570056923E-2</v>
      </c>
      <c r="S182" s="522">
        <f>Tabuľka1578[[#This Row],[2023]]</f>
        <v>1.3677041570056923E-2</v>
      </c>
      <c r="T182" s="522">
        <f>Tabuľka1578[[#This Row],[2024]]</f>
        <v>1.3677041570056923E-2</v>
      </c>
      <c r="U182" s="522">
        <f>Tabuľka1578[[#This Row],[2025]]</f>
        <v>1.3677041570056923E-2</v>
      </c>
      <c r="V182" s="522">
        <f>Tabuľka1578[[#This Row],[2026]]</f>
        <v>1.3677041570056923E-2</v>
      </c>
      <c r="W182" s="522">
        <f>Tabuľka1578[[#This Row],[2027]]</f>
        <v>1.3677041570056923E-2</v>
      </c>
      <c r="X182" s="522">
        <f>Tabuľka1578[[#This Row],[2028]]</f>
        <v>1.3677041570056923E-2</v>
      </c>
      <c r="Y182" s="522">
        <f>Tabuľka1578[[#This Row],[2029]]</f>
        <v>1.3677041570056923E-2</v>
      </c>
      <c r="Z182" s="522">
        <f>Tabuľka1578[[#This Row],[2030]]</f>
        <v>1.3677041570056923E-2</v>
      </c>
      <c r="AA182" s="522">
        <f>Tabuľka1578[[#This Row],[2031]]</f>
        <v>1.3677041570056923E-2</v>
      </c>
      <c r="AB182" s="522">
        <f>Tabuľka1578[[#This Row],[2032]]</f>
        <v>1.3677041570056923E-2</v>
      </c>
    </row>
    <row r="183" spans="2:28">
      <c r="B183" s="539" t="s">
        <v>789</v>
      </c>
      <c r="C183" s="539" t="s">
        <v>41</v>
      </c>
      <c r="D183" s="539" t="s">
        <v>20</v>
      </c>
      <c r="E183" s="540" t="s">
        <v>21</v>
      </c>
      <c r="F183" s="541"/>
      <c r="G183" s="555">
        <f t="shared" ref="G183:P183" si="139">G116/F48</f>
        <v>-5.9026069847515988E-4</v>
      </c>
      <c r="H183" s="555">
        <f t="shared" si="139"/>
        <v>1.6733930504970961E-3</v>
      </c>
      <c r="I183" s="555">
        <f t="shared" si="139"/>
        <v>1.3757861635220125E-3</v>
      </c>
      <c r="J183" s="555">
        <f t="shared" si="139"/>
        <v>1.0794896957801766E-3</v>
      </c>
      <c r="K183" s="555">
        <f t="shared" si="139"/>
        <v>-2.9408881482207625E-3</v>
      </c>
      <c r="L183" s="555">
        <f t="shared" si="139"/>
        <v>-8.8486874446957033E-4</v>
      </c>
      <c r="M183" s="555">
        <f t="shared" si="139"/>
        <v>-1.7221019484353474E-3</v>
      </c>
      <c r="N183" s="555">
        <f t="shared" si="139"/>
        <v>-4.4851890186800728E-3</v>
      </c>
      <c r="O183" s="555">
        <f t="shared" si="139"/>
        <v>-2.8616694722249727E-2</v>
      </c>
      <c r="P183" s="555">
        <f t="shared" si="139"/>
        <v>-9.6839959225280322E-3</v>
      </c>
      <c r="Q183" s="522">
        <f>AVERAGE(Tabuľka1578[[#This Row],[2013]:[2022]])</f>
        <v>-4.4795330293259392E-3</v>
      </c>
      <c r="R183" s="522">
        <f>Tabuľka1578[[#This Row],[Priemer]]</f>
        <v>-4.4795330293259392E-3</v>
      </c>
      <c r="S183" s="522">
        <f>Tabuľka1578[[#This Row],[2023]]</f>
        <v>-4.4795330293259392E-3</v>
      </c>
      <c r="T183" s="522">
        <f>Tabuľka1578[[#This Row],[2024]]</f>
        <v>-4.4795330293259392E-3</v>
      </c>
      <c r="U183" s="522">
        <f>Tabuľka1578[[#This Row],[2025]]</f>
        <v>-4.4795330293259392E-3</v>
      </c>
      <c r="V183" s="522">
        <f>Tabuľka1578[[#This Row],[2026]]</f>
        <v>-4.4795330293259392E-3</v>
      </c>
      <c r="W183" s="522">
        <f>Tabuľka1578[[#This Row],[2027]]</f>
        <v>-4.4795330293259392E-3</v>
      </c>
      <c r="X183" s="522">
        <f>Tabuľka1578[[#This Row],[2028]]</f>
        <v>-4.4795330293259392E-3</v>
      </c>
      <c r="Y183" s="522">
        <f>Tabuľka1578[[#This Row],[2029]]</f>
        <v>-4.4795330293259392E-3</v>
      </c>
      <c r="Z183" s="522">
        <f>Tabuľka1578[[#This Row],[2030]]</f>
        <v>-4.4795330293259392E-3</v>
      </c>
      <c r="AA183" s="522">
        <f>Tabuľka1578[[#This Row],[2031]]</f>
        <v>-4.4795330293259392E-3</v>
      </c>
      <c r="AB183" s="522">
        <f>Tabuľka1578[[#This Row],[2032]]</f>
        <v>-4.4795330293259392E-3</v>
      </c>
    </row>
    <row r="184" spans="2:28">
      <c r="B184" s="539" t="s">
        <v>790</v>
      </c>
      <c r="C184" s="539" t="s">
        <v>41</v>
      </c>
      <c r="D184" s="539" t="s">
        <v>20</v>
      </c>
      <c r="E184" s="540" t="s">
        <v>810</v>
      </c>
      <c r="F184" s="541"/>
      <c r="G184" s="555">
        <f t="shared" ref="G184:P184" si="140">G117/F49</f>
        <v>-3.4032547490873088E-3</v>
      </c>
      <c r="H184" s="555">
        <f t="shared" si="140"/>
        <v>-7.0160188749534332E-3</v>
      </c>
      <c r="I184" s="555">
        <f t="shared" si="140"/>
        <v>-4.3769149002688672E-3</v>
      </c>
      <c r="J184" s="555">
        <f t="shared" si="140"/>
        <v>-6.8454436977956412E-3</v>
      </c>
      <c r="K184" s="555">
        <f t="shared" si="140"/>
        <v>-5.564689515619072E-3</v>
      </c>
      <c r="L184" s="555">
        <f t="shared" si="140"/>
        <v>-9.2203993386748059E-3</v>
      </c>
      <c r="M184" s="555">
        <f t="shared" si="140"/>
        <v>-8.7927604133239204E-3</v>
      </c>
      <c r="N184" s="555">
        <f t="shared" si="140"/>
        <v>-7.6405076405076404E-3</v>
      </c>
      <c r="O184" s="555">
        <f t="shared" si="140"/>
        <v>1.1418504502153204E-2</v>
      </c>
      <c r="P184" s="555">
        <f t="shared" si="140"/>
        <v>-1.3612025030643184E-2</v>
      </c>
      <c r="Q184" s="522">
        <f>AVERAGE(Tabuľka1578[[#This Row],[2013]:[2022]])</f>
        <v>-5.5053509658720672E-3</v>
      </c>
      <c r="R184" s="522">
        <f>Tabuľka1578[[#This Row],[Priemer]]</f>
        <v>-5.5053509658720672E-3</v>
      </c>
      <c r="S184" s="522">
        <f>Tabuľka1578[[#This Row],[2023]]</f>
        <v>-5.5053509658720672E-3</v>
      </c>
      <c r="T184" s="522">
        <f>Tabuľka1578[[#This Row],[2024]]</f>
        <v>-5.5053509658720672E-3</v>
      </c>
      <c r="U184" s="522">
        <f>Tabuľka1578[[#This Row],[2025]]</f>
        <v>-5.5053509658720672E-3</v>
      </c>
      <c r="V184" s="522">
        <f>Tabuľka1578[[#This Row],[2026]]</f>
        <v>-5.5053509658720672E-3</v>
      </c>
      <c r="W184" s="522">
        <f>Tabuľka1578[[#This Row],[2027]]</f>
        <v>-5.5053509658720672E-3</v>
      </c>
      <c r="X184" s="522">
        <f>Tabuľka1578[[#This Row],[2028]]</f>
        <v>-5.5053509658720672E-3</v>
      </c>
      <c r="Y184" s="522">
        <f>Tabuľka1578[[#This Row],[2029]]</f>
        <v>-5.5053509658720672E-3</v>
      </c>
      <c r="Z184" s="522">
        <f>Tabuľka1578[[#This Row],[2030]]</f>
        <v>-5.5053509658720672E-3</v>
      </c>
      <c r="AA184" s="522">
        <f>Tabuľka1578[[#This Row],[2031]]</f>
        <v>-5.5053509658720672E-3</v>
      </c>
      <c r="AB184" s="522">
        <f>Tabuľka1578[[#This Row],[2032]]</f>
        <v>-5.5053509658720672E-3</v>
      </c>
    </row>
    <row r="185" spans="2:28">
      <c r="B185" s="539" t="s">
        <v>791</v>
      </c>
      <c r="C185" s="539" t="s">
        <v>41</v>
      </c>
      <c r="D185" s="539" t="s">
        <v>20</v>
      </c>
      <c r="E185" s="540" t="s">
        <v>821</v>
      </c>
      <c r="F185" s="541"/>
      <c r="G185" s="555">
        <f t="shared" ref="G185:P185" si="141">G118/F50</f>
        <v>7.1873502635361767E-3</v>
      </c>
      <c r="H185" s="555">
        <f t="shared" si="141"/>
        <v>2.3786869647954329E-3</v>
      </c>
      <c r="I185" s="555">
        <f t="shared" si="141"/>
        <v>3.8646687911044818E-3</v>
      </c>
      <c r="J185" s="555">
        <f t="shared" si="141"/>
        <v>7.2943401323787658E-3</v>
      </c>
      <c r="K185" s="555">
        <f t="shared" si="141"/>
        <v>3.5537079254391846E-3</v>
      </c>
      <c r="L185" s="555">
        <f t="shared" si="141"/>
        <v>3.2738691788601589E-3</v>
      </c>
      <c r="M185" s="555">
        <f t="shared" si="141"/>
        <v>3.9957378795950983E-4</v>
      </c>
      <c r="N185" s="555">
        <f t="shared" si="141"/>
        <v>-1.4645187058980162E-3</v>
      </c>
      <c r="O185" s="555">
        <f t="shared" si="141"/>
        <v>3.3399999999999999E-2</v>
      </c>
      <c r="P185" s="555">
        <f t="shared" si="141"/>
        <v>-1.9353590090961873E-3</v>
      </c>
      <c r="Q185" s="522">
        <f>AVERAGE(Tabuľka1578[[#This Row],[2013]:[2022]])</f>
        <v>5.7952319329079511E-3</v>
      </c>
      <c r="R185" s="522">
        <f>Tabuľka1578[[#This Row],[Priemer]]</f>
        <v>5.7952319329079511E-3</v>
      </c>
      <c r="S185" s="522">
        <f>Tabuľka1578[[#This Row],[2023]]</f>
        <v>5.7952319329079511E-3</v>
      </c>
      <c r="T185" s="522">
        <f>Tabuľka1578[[#This Row],[2024]]</f>
        <v>5.7952319329079511E-3</v>
      </c>
      <c r="U185" s="522">
        <f>Tabuľka1578[[#This Row],[2025]]</f>
        <v>5.7952319329079511E-3</v>
      </c>
      <c r="V185" s="522">
        <f>Tabuľka1578[[#This Row],[2026]]</f>
        <v>5.7952319329079511E-3</v>
      </c>
      <c r="W185" s="522">
        <f>Tabuľka1578[[#This Row],[2027]]</f>
        <v>5.7952319329079511E-3</v>
      </c>
      <c r="X185" s="522">
        <f>Tabuľka1578[[#This Row],[2028]]</f>
        <v>5.7952319329079511E-3</v>
      </c>
      <c r="Y185" s="522">
        <f>Tabuľka1578[[#This Row],[2029]]</f>
        <v>5.7952319329079511E-3</v>
      </c>
      <c r="Z185" s="522">
        <f>Tabuľka1578[[#This Row],[2030]]</f>
        <v>5.7952319329079511E-3</v>
      </c>
      <c r="AA185" s="522">
        <f>Tabuľka1578[[#This Row],[2031]]</f>
        <v>5.7952319329079511E-3</v>
      </c>
      <c r="AB185" s="522">
        <f>Tabuľka1578[[#This Row],[2032]]</f>
        <v>5.7952319329079511E-3</v>
      </c>
    </row>
    <row r="186" spans="2:28">
      <c r="B186" s="539" t="s">
        <v>792</v>
      </c>
      <c r="C186" s="539" t="s">
        <v>41</v>
      </c>
      <c r="D186" s="539" t="s">
        <v>34</v>
      </c>
      <c r="E186" s="540" t="s">
        <v>822</v>
      </c>
      <c r="F186" s="541"/>
      <c r="G186" s="555">
        <f t="shared" ref="G186:P186" si="142">G119/F51</f>
        <v>-4.8553117110118468E-3</v>
      </c>
      <c r="H186" s="555">
        <f t="shared" si="142"/>
        <v>-9.8555815768930528E-3</v>
      </c>
      <c r="I186" s="555">
        <f t="shared" si="142"/>
        <v>-5.9130777569725039E-3</v>
      </c>
      <c r="J186" s="555">
        <f t="shared" si="142"/>
        <v>-7.0883315158124316E-3</v>
      </c>
      <c r="K186" s="555">
        <f t="shared" si="142"/>
        <v>-8.7863811092806152E-3</v>
      </c>
      <c r="L186" s="555">
        <f t="shared" si="142"/>
        <v>-8.0584235708889441E-3</v>
      </c>
      <c r="M186" s="555">
        <f t="shared" si="142"/>
        <v>-8.8855039350088857E-3</v>
      </c>
      <c r="N186" s="555">
        <f t="shared" si="142"/>
        <v>-1.014344262295082E-2</v>
      </c>
      <c r="O186" s="555">
        <f t="shared" si="142"/>
        <v>-4.4353586585239621E-2</v>
      </c>
      <c r="P186" s="555">
        <f t="shared" si="142"/>
        <v>-1.3918223666395883E-2</v>
      </c>
      <c r="Q186" s="522">
        <f>AVERAGE(Tabuľka1578[[#This Row],[2013]:[2022]])</f>
        <v>-1.218578640504546E-2</v>
      </c>
      <c r="R186" s="522">
        <f>Tabuľka1578[[#This Row],[Priemer]]</f>
        <v>-1.218578640504546E-2</v>
      </c>
      <c r="S186" s="522">
        <f>Tabuľka1578[[#This Row],[2023]]</f>
        <v>-1.218578640504546E-2</v>
      </c>
      <c r="T186" s="522">
        <f>Tabuľka1578[[#This Row],[2024]]</f>
        <v>-1.218578640504546E-2</v>
      </c>
      <c r="U186" s="522">
        <f>Tabuľka1578[[#This Row],[2025]]</f>
        <v>-1.218578640504546E-2</v>
      </c>
      <c r="V186" s="522">
        <f>Tabuľka1578[[#This Row],[2026]]</f>
        <v>-1.218578640504546E-2</v>
      </c>
      <c r="W186" s="522">
        <f>Tabuľka1578[[#This Row],[2027]]</f>
        <v>-1.218578640504546E-2</v>
      </c>
      <c r="X186" s="522">
        <f>Tabuľka1578[[#This Row],[2028]]</f>
        <v>-1.218578640504546E-2</v>
      </c>
      <c r="Y186" s="522">
        <f>Tabuľka1578[[#This Row],[2029]]</f>
        <v>-1.218578640504546E-2</v>
      </c>
      <c r="Z186" s="522">
        <f>Tabuľka1578[[#This Row],[2030]]</f>
        <v>-1.218578640504546E-2</v>
      </c>
      <c r="AA186" s="522">
        <f>Tabuľka1578[[#This Row],[2031]]</f>
        <v>-1.218578640504546E-2</v>
      </c>
      <c r="AB186" s="522">
        <f>Tabuľka1578[[#This Row],[2032]]</f>
        <v>-1.218578640504546E-2</v>
      </c>
    </row>
    <row r="187" spans="2:28">
      <c r="B187" s="539" t="s">
        <v>58</v>
      </c>
      <c r="C187" s="539" t="s">
        <v>41</v>
      </c>
      <c r="D187" s="539" t="s">
        <v>38</v>
      </c>
      <c r="E187" s="540" t="s">
        <v>39</v>
      </c>
      <c r="F187" s="541"/>
      <c r="G187" s="555">
        <f t="shared" ref="G187:P187" si="143">G120/F52</f>
        <v>7.4138798421902717E-4</v>
      </c>
      <c r="H187" s="555">
        <f t="shared" si="143"/>
        <v>-2.3283503108876835E-3</v>
      </c>
      <c r="I187" s="555">
        <f t="shared" si="143"/>
        <v>-2.9967910467552446E-3</v>
      </c>
      <c r="J187" s="555">
        <f t="shared" si="143"/>
        <v>-3.245198701920519E-3</v>
      </c>
      <c r="K187" s="555">
        <f t="shared" si="143"/>
        <v>-3.8962425277540564E-3</v>
      </c>
      <c r="L187" s="555">
        <f t="shared" si="143"/>
        <v>-3.53640893746986E-3</v>
      </c>
      <c r="M187" s="555">
        <f t="shared" si="143"/>
        <v>-5.027692638597623E-3</v>
      </c>
      <c r="N187" s="555">
        <f t="shared" si="143"/>
        <v>-7.5120923068608646E-3</v>
      </c>
      <c r="O187" s="555">
        <f t="shared" si="143"/>
        <v>-4.3317269732364071E-2</v>
      </c>
      <c r="P187" s="555">
        <f t="shared" si="143"/>
        <v>-8.0539586772155509E-3</v>
      </c>
      <c r="Q187" s="522">
        <f>AVERAGE(Tabuľka1578[[#This Row],[2013]:[2022]])</f>
        <v>-7.9172616895606431E-3</v>
      </c>
      <c r="R187" s="522">
        <f>Tabuľka1578[[#This Row],[Priemer]]</f>
        <v>-7.9172616895606431E-3</v>
      </c>
      <c r="S187" s="522">
        <f>Tabuľka1578[[#This Row],[2023]]</f>
        <v>-7.9172616895606431E-3</v>
      </c>
      <c r="T187" s="522">
        <f>Tabuľka1578[[#This Row],[2024]]</f>
        <v>-7.9172616895606431E-3</v>
      </c>
      <c r="U187" s="522">
        <f>Tabuľka1578[[#This Row],[2025]]</f>
        <v>-7.9172616895606431E-3</v>
      </c>
      <c r="V187" s="522">
        <f>Tabuľka1578[[#This Row],[2026]]</f>
        <v>-7.9172616895606431E-3</v>
      </c>
      <c r="W187" s="522">
        <f>Tabuľka1578[[#This Row],[2027]]</f>
        <v>-7.9172616895606431E-3</v>
      </c>
      <c r="X187" s="522">
        <f>Tabuľka1578[[#This Row],[2028]]</f>
        <v>-7.9172616895606431E-3</v>
      </c>
      <c r="Y187" s="522">
        <f>Tabuľka1578[[#This Row],[2029]]</f>
        <v>-7.9172616895606431E-3</v>
      </c>
      <c r="Z187" s="522">
        <f>Tabuľka1578[[#This Row],[2030]]</f>
        <v>-7.9172616895606431E-3</v>
      </c>
      <c r="AA187" s="522">
        <f>Tabuľka1578[[#This Row],[2031]]</f>
        <v>-7.9172616895606431E-3</v>
      </c>
      <c r="AB187" s="522">
        <f>Tabuľka1578[[#This Row],[2032]]</f>
        <v>-7.9172616895606431E-3</v>
      </c>
    </row>
    <row r="188" spans="2:28">
      <c r="B188" s="539" t="s">
        <v>793</v>
      </c>
      <c r="C188" s="539" t="s">
        <v>41</v>
      </c>
      <c r="D188" s="539" t="s">
        <v>34</v>
      </c>
      <c r="E188" s="540" t="s">
        <v>813</v>
      </c>
      <c r="F188" s="541"/>
      <c r="G188" s="555">
        <f t="shared" ref="G188:P188" si="144">G121/F53</f>
        <v>4.8926671151611526E-4</v>
      </c>
      <c r="H188" s="555">
        <f t="shared" si="144"/>
        <v>4.2789901583226359E-4</v>
      </c>
      <c r="I188" s="555">
        <f t="shared" si="144"/>
        <v>-1.1609434192838813E-3</v>
      </c>
      <c r="J188" s="555">
        <f t="shared" si="144"/>
        <v>-8.5642625558206395E-4</v>
      </c>
      <c r="K188" s="555">
        <f t="shared" si="144"/>
        <v>9.1838608951203091E-4</v>
      </c>
      <c r="L188" s="555">
        <f t="shared" si="144"/>
        <v>-1.1010521164668461E-3</v>
      </c>
      <c r="M188" s="555">
        <f t="shared" si="144"/>
        <v>-1.8371096142069811E-4</v>
      </c>
      <c r="N188" s="555">
        <f t="shared" si="144"/>
        <v>-4.1036320205794083E-3</v>
      </c>
      <c r="O188" s="555">
        <f t="shared" si="144"/>
        <v>-2.6322263222632227E-2</v>
      </c>
      <c r="P188" s="555">
        <f t="shared" si="144"/>
        <v>-7.8954017180394142E-3</v>
      </c>
      <c r="Q188" s="522">
        <f>AVERAGE(Tabuľka1578[[#This Row],[2013]:[2022]])</f>
        <v>-3.9787877897144129E-3</v>
      </c>
      <c r="R188" s="522">
        <f>Tabuľka1578[[#This Row],[Priemer]]</f>
        <v>-3.9787877897144129E-3</v>
      </c>
      <c r="S188" s="522">
        <f>Tabuľka1578[[#This Row],[2023]]</f>
        <v>-3.9787877897144129E-3</v>
      </c>
      <c r="T188" s="522">
        <f>Tabuľka1578[[#This Row],[2024]]</f>
        <v>-3.9787877897144129E-3</v>
      </c>
      <c r="U188" s="522">
        <f>Tabuľka1578[[#This Row],[2025]]</f>
        <v>-3.9787877897144129E-3</v>
      </c>
      <c r="V188" s="522">
        <f>Tabuľka1578[[#This Row],[2026]]</f>
        <v>-3.9787877897144129E-3</v>
      </c>
      <c r="W188" s="522">
        <f>Tabuľka1578[[#This Row],[2027]]</f>
        <v>-3.9787877897144129E-3</v>
      </c>
      <c r="X188" s="522">
        <f>Tabuľka1578[[#This Row],[2028]]</f>
        <v>-3.9787877897144129E-3</v>
      </c>
      <c r="Y188" s="522">
        <f>Tabuľka1578[[#This Row],[2029]]</f>
        <v>-3.9787877897144129E-3</v>
      </c>
      <c r="Z188" s="522">
        <f>Tabuľka1578[[#This Row],[2030]]</f>
        <v>-3.9787877897144129E-3</v>
      </c>
      <c r="AA188" s="522">
        <f>Tabuľka1578[[#This Row],[2031]]</f>
        <v>-3.9787877897144129E-3</v>
      </c>
      <c r="AB188" s="522">
        <f>Tabuľka1578[[#This Row],[2032]]</f>
        <v>-3.9787877897144129E-3</v>
      </c>
    </row>
    <row r="189" spans="2:28">
      <c r="B189" s="539" t="s">
        <v>794</v>
      </c>
      <c r="C189" s="539" t="s">
        <v>41</v>
      </c>
      <c r="D189" s="539" t="s">
        <v>28</v>
      </c>
      <c r="E189" s="540" t="s">
        <v>814</v>
      </c>
      <c r="F189" s="541"/>
      <c r="G189" s="555">
        <f t="shared" ref="G189:P189" si="145">G122/F54</f>
        <v>-8.2752208275220819E-3</v>
      </c>
      <c r="H189" s="555">
        <f t="shared" si="145"/>
        <v>-9.1880742546409152E-3</v>
      </c>
      <c r="I189" s="555">
        <f t="shared" si="145"/>
        <v>-4.163512490537472E-3</v>
      </c>
      <c r="J189" s="555">
        <f t="shared" si="145"/>
        <v>-5.6062333713416948E-3</v>
      </c>
      <c r="K189" s="555">
        <f t="shared" si="145"/>
        <v>-7.16674629718108E-3</v>
      </c>
      <c r="L189" s="555">
        <f t="shared" si="145"/>
        <v>-1.068334937439846E-2</v>
      </c>
      <c r="M189" s="555">
        <f t="shared" si="145"/>
        <v>-9.0475727210818178E-3</v>
      </c>
      <c r="N189" s="555">
        <f t="shared" si="145"/>
        <v>-7.2648733555860986E-3</v>
      </c>
      <c r="O189" s="555">
        <f t="shared" si="145"/>
        <v>-5.1522943037974681E-2</v>
      </c>
      <c r="P189" s="555">
        <f t="shared" si="145"/>
        <v>-1.5743926597852152E-2</v>
      </c>
      <c r="Q189" s="522">
        <f>AVERAGE(Tabuľka1578[[#This Row],[2013]:[2022]])</f>
        <v>-1.2866245232811647E-2</v>
      </c>
      <c r="R189" s="522">
        <f>Tabuľka1578[[#This Row],[Priemer]]</f>
        <v>-1.2866245232811647E-2</v>
      </c>
      <c r="S189" s="522">
        <f>Tabuľka1578[[#This Row],[2023]]</f>
        <v>-1.2866245232811647E-2</v>
      </c>
      <c r="T189" s="522">
        <f>Tabuľka1578[[#This Row],[2024]]</f>
        <v>-1.2866245232811647E-2</v>
      </c>
      <c r="U189" s="522">
        <f>Tabuľka1578[[#This Row],[2025]]</f>
        <v>-1.2866245232811647E-2</v>
      </c>
      <c r="V189" s="522">
        <f>Tabuľka1578[[#This Row],[2026]]</f>
        <v>-1.2866245232811647E-2</v>
      </c>
      <c r="W189" s="522">
        <f>Tabuľka1578[[#This Row],[2027]]</f>
        <v>-1.2866245232811647E-2</v>
      </c>
      <c r="X189" s="522">
        <f>Tabuľka1578[[#This Row],[2028]]</f>
        <v>-1.2866245232811647E-2</v>
      </c>
      <c r="Y189" s="522">
        <f>Tabuľka1578[[#This Row],[2029]]</f>
        <v>-1.2866245232811647E-2</v>
      </c>
      <c r="Z189" s="522">
        <f>Tabuľka1578[[#This Row],[2030]]</f>
        <v>-1.2866245232811647E-2</v>
      </c>
      <c r="AA189" s="522">
        <f>Tabuľka1578[[#This Row],[2031]]</f>
        <v>-1.2866245232811647E-2</v>
      </c>
      <c r="AB189" s="522">
        <f>Tabuľka1578[[#This Row],[2032]]</f>
        <v>-1.2866245232811647E-2</v>
      </c>
    </row>
    <row r="190" spans="2:28">
      <c r="B190" s="539" t="s">
        <v>795</v>
      </c>
      <c r="C190" s="539" t="s">
        <v>41</v>
      </c>
      <c r="D190" s="539" t="s">
        <v>28</v>
      </c>
      <c r="E190" s="540" t="s">
        <v>814</v>
      </c>
      <c r="F190" s="541"/>
      <c r="G190" s="555">
        <f t="shared" ref="G190:P190" si="146">G123/F55</f>
        <v>-3.4602076124567475E-3</v>
      </c>
      <c r="H190" s="555">
        <f t="shared" si="146"/>
        <v>-2.48015873015873E-3</v>
      </c>
      <c r="I190" s="555">
        <f t="shared" si="146"/>
        <v>-9.4480358030830432E-3</v>
      </c>
      <c r="J190" s="555">
        <f t="shared" si="146"/>
        <v>-6.8273092369477914E-3</v>
      </c>
      <c r="K190" s="555">
        <f t="shared" si="146"/>
        <v>-1.4152850788515972E-3</v>
      </c>
      <c r="L190" s="555">
        <f t="shared" si="146"/>
        <v>-9.7185665114395622E-3</v>
      </c>
      <c r="M190" s="555">
        <f t="shared" si="146"/>
        <v>-1.2574115722756083E-2</v>
      </c>
      <c r="N190" s="555">
        <f t="shared" si="146"/>
        <v>-8.0753701211305519E-3</v>
      </c>
      <c r="O190" s="555">
        <f t="shared" si="146"/>
        <v>-1.0854816824966078E-2</v>
      </c>
      <c r="P190" s="555">
        <f t="shared" si="146"/>
        <v>-1.5933312229608525E-2</v>
      </c>
      <c r="Q190" s="522">
        <f>AVERAGE(Tabuľka1578[[#This Row],[2013]:[2022]])</f>
        <v>-8.0787177871398715E-3</v>
      </c>
      <c r="R190" s="522">
        <f>Tabuľka1578[[#This Row],[Priemer]]</f>
        <v>-8.0787177871398715E-3</v>
      </c>
      <c r="S190" s="522">
        <f>Tabuľka1578[[#This Row],[2023]]</f>
        <v>-8.0787177871398715E-3</v>
      </c>
      <c r="T190" s="522">
        <f>Tabuľka1578[[#This Row],[2024]]</f>
        <v>-8.0787177871398715E-3</v>
      </c>
      <c r="U190" s="522">
        <f>Tabuľka1578[[#This Row],[2025]]</f>
        <v>-8.0787177871398715E-3</v>
      </c>
      <c r="V190" s="522">
        <f>Tabuľka1578[[#This Row],[2026]]</f>
        <v>-8.0787177871398715E-3</v>
      </c>
      <c r="W190" s="522">
        <f>Tabuľka1578[[#This Row],[2027]]</f>
        <v>-8.0787177871398715E-3</v>
      </c>
      <c r="X190" s="522">
        <f>Tabuľka1578[[#This Row],[2028]]</f>
        <v>-8.0787177871398715E-3</v>
      </c>
      <c r="Y190" s="522">
        <f>Tabuľka1578[[#This Row],[2029]]</f>
        <v>-8.0787177871398715E-3</v>
      </c>
      <c r="Z190" s="522">
        <f>Tabuľka1578[[#This Row],[2030]]</f>
        <v>-8.0787177871398715E-3</v>
      </c>
      <c r="AA190" s="522">
        <f>Tabuľka1578[[#This Row],[2031]]</f>
        <v>-8.0787177871398715E-3</v>
      </c>
      <c r="AB190" s="522">
        <f>Tabuľka1578[[#This Row],[2032]]</f>
        <v>-8.0787177871398715E-3</v>
      </c>
    </row>
    <row r="191" spans="2:28">
      <c r="B191" s="539" t="s">
        <v>796</v>
      </c>
      <c r="C191" s="539" t="s">
        <v>41</v>
      </c>
      <c r="D191" s="539" t="s">
        <v>34</v>
      </c>
      <c r="E191" s="540" t="s">
        <v>823</v>
      </c>
      <c r="F191" s="541"/>
      <c r="G191" s="555">
        <f t="shared" ref="G191:P191" si="147">G124/F56</f>
        <v>7.742782152230971E-3</v>
      </c>
      <c r="H191" s="555">
        <f t="shared" si="147"/>
        <v>7.8135173850761817E-3</v>
      </c>
      <c r="I191" s="555">
        <f t="shared" si="147"/>
        <v>4.1349011500193822E-3</v>
      </c>
      <c r="J191" s="555">
        <f t="shared" si="147"/>
        <v>-2.9597220434950458E-3</v>
      </c>
      <c r="K191" s="555">
        <f t="shared" si="147"/>
        <v>2.8394424367578731E-3</v>
      </c>
      <c r="L191" s="555">
        <f t="shared" si="147"/>
        <v>2.5740025740025739E-3</v>
      </c>
      <c r="M191" s="555">
        <f t="shared" si="147"/>
        <v>1.7073170731707318E-2</v>
      </c>
      <c r="N191" s="555">
        <f t="shared" si="147"/>
        <v>1.0097185409567084E-3</v>
      </c>
      <c r="O191" s="555">
        <f t="shared" si="147"/>
        <v>-2.8747951078048166E-2</v>
      </c>
      <c r="P191" s="555">
        <f t="shared" si="147"/>
        <v>1.4280150590678957E-3</v>
      </c>
      <c r="Q191" s="522">
        <f>AVERAGE(Tabuľka1578[[#This Row],[2013]:[2022]])</f>
        <v>1.290787690827569E-3</v>
      </c>
      <c r="R191" s="522">
        <f>Tabuľka1578[[#This Row],[Priemer]]</f>
        <v>1.290787690827569E-3</v>
      </c>
      <c r="S191" s="522">
        <f>Tabuľka1578[[#This Row],[2023]]</f>
        <v>1.290787690827569E-3</v>
      </c>
      <c r="T191" s="522">
        <f>Tabuľka1578[[#This Row],[2024]]</f>
        <v>1.290787690827569E-3</v>
      </c>
      <c r="U191" s="522">
        <f>Tabuľka1578[[#This Row],[2025]]</f>
        <v>1.290787690827569E-3</v>
      </c>
      <c r="V191" s="522">
        <f>Tabuľka1578[[#This Row],[2026]]</f>
        <v>1.290787690827569E-3</v>
      </c>
      <c r="W191" s="522">
        <f>Tabuľka1578[[#This Row],[2027]]</f>
        <v>1.290787690827569E-3</v>
      </c>
      <c r="X191" s="522">
        <f>Tabuľka1578[[#This Row],[2028]]</f>
        <v>1.290787690827569E-3</v>
      </c>
      <c r="Y191" s="522">
        <f>Tabuľka1578[[#This Row],[2029]]</f>
        <v>1.290787690827569E-3</v>
      </c>
      <c r="Z191" s="522">
        <f>Tabuľka1578[[#This Row],[2030]]</f>
        <v>1.290787690827569E-3</v>
      </c>
      <c r="AA191" s="522">
        <f>Tabuľka1578[[#This Row],[2031]]</f>
        <v>1.290787690827569E-3</v>
      </c>
      <c r="AB191" s="522">
        <f>Tabuľka1578[[#This Row],[2032]]</f>
        <v>1.290787690827569E-3</v>
      </c>
    </row>
    <row r="192" spans="2:28">
      <c r="B192" s="539" t="s">
        <v>797</v>
      </c>
      <c r="C192" s="539" t="s">
        <v>41</v>
      </c>
      <c r="D192" s="539" t="s">
        <v>28</v>
      </c>
      <c r="E192" s="540" t="s">
        <v>824</v>
      </c>
      <c r="F192" s="541"/>
      <c r="G192" s="555">
        <f t="shared" ref="G192:P192" si="148">G125/F57</f>
        <v>-1.0662802793877248E-2</v>
      </c>
      <c r="H192" s="555">
        <f t="shared" si="148"/>
        <v>-7.811033084231477E-3</v>
      </c>
      <c r="I192" s="555">
        <f t="shared" si="148"/>
        <v>-8.5159532190303162E-3</v>
      </c>
      <c r="J192" s="555">
        <f t="shared" si="148"/>
        <v>-1.3513513513513514E-2</v>
      </c>
      <c r="K192" s="555">
        <f t="shared" si="148"/>
        <v>-1.3543843355777416E-2</v>
      </c>
      <c r="L192" s="555">
        <f t="shared" si="148"/>
        <v>-1.219990585281657E-2</v>
      </c>
      <c r="M192" s="555">
        <f t="shared" si="148"/>
        <v>-1.5726142726658988E-2</v>
      </c>
      <c r="N192" s="555">
        <f t="shared" si="148"/>
        <v>-1.400040346984063E-2</v>
      </c>
      <c r="O192" s="555">
        <f t="shared" si="148"/>
        <v>1.497667566904002E-2</v>
      </c>
      <c r="P192" s="555">
        <f t="shared" si="148"/>
        <v>-1.5682954362199644E-2</v>
      </c>
      <c r="Q192" s="522">
        <f>AVERAGE(Tabuľka1578[[#This Row],[2013]:[2022]])</f>
        <v>-9.6679876708905786E-3</v>
      </c>
      <c r="R192" s="522">
        <f>Tabuľka1578[[#This Row],[Priemer]]</f>
        <v>-9.6679876708905786E-3</v>
      </c>
      <c r="S192" s="522">
        <f>Tabuľka1578[[#This Row],[2023]]</f>
        <v>-9.6679876708905786E-3</v>
      </c>
      <c r="T192" s="522">
        <f>Tabuľka1578[[#This Row],[2024]]</f>
        <v>-9.6679876708905786E-3</v>
      </c>
      <c r="U192" s="522">
        <f>Tabuľka1578[[#This Row],[2025]]</f>
        <v>-9.6679876708905786E-3</v>
      </c>
      <c r="V192" s="522">
        <f>Tabuľka1578[[#This Row],[2026]]</f>
        <v>-9.6679876708905786E-3</v>
      </c>
      <c r="W192" s="522">
        <f>Tabuľka1578[[#This Row],[2027]]</f>
        <v>-9.6679876708905786E-3</v>
      </c>
      <c r="X192" s="522">
        <f>Tabuľka1578[[#This Row],[2028]]</f>
        <v>-9.6679876708905786E-3</v>
      </c>
      <c r="Y192" s="522">
        <f>Tabuľka1578[[#This Row],[2029]]</f>
        <v>-9.6679876708905786E-3</v>
      </c>
      <c r="Z192" s="522">
        <f>Tabuľka1578[[#This Row],[2030]]</f>
        <v>-9.6679876708905786E-3</v>
      </c>
      <c r="AA192" s="522">
        <f>Tabuľka1578[[#This Row],[2031]]</f>
        <v>-9.6679876708905786E-3</v>
      </c>
      <c r="AB192" s="522">
        <f>Tabuľka1578[[#This Row],[2032]]</f>
        <v>-9.6679876708905786E-3</v>
      </c>
    </row>
    <row r="193" spans="2:29">
      <c r="B193" s="539" t="s">
        <v>798</v>
      </c>
      <c r="C193" s="539" t="s">
        <v>41</v>
      </c>
      <c r="D193" s="539" t="s">
        <v>38</v>
      </c>
      <c r="E193" s="540" t="s">
        <v>825</v>
      </c>
      <c r="F193" s="541"/>
      <c r="G193" s="555">
        <f t="shared" ref="G193:P193" si="149">G126/F58</f>
        <v>2.0394012317983439E-4</v>
      </c>
      <c r="H193" s="555">
        <f t="shared" si="149"/>
        <v>-8.971535763803931E-4</v>
      </c>
      <c r="I193" s="555">
        <f t="shared" si="149"/>
        <v>0</v>
      </c>
      <c r="J193" s="555">
        <f t="shared" si="149"/>
        <v>2.3265306122448978E-3</v>
      </c>
      <c r="K193" s="555">
        <f t="shared" si="149"/>
        <v>1.2216475953903164E-3</v>
      </c>
      <c r="L193" s="555">
        <f t="shared" si="149"/>
        <v>4.0671899784438929E-4</v>
      </c>
      <c r="M193" s="555">
        <f t="shared" si="149"/>
        <v>2.114078952717811E-3</v>
      </c>
      <c r="N193" s="555">
        <f t="shared" si="149"/>
        <v>-4.1786685058217369E-3</v>
      </c>
      <c r="O193" s="555">
        <f t="shared" si="149"/>
        <v>-5.9846818218854396E-2</v>
      </c>
      <c r="P193" s="555">
        <f t="shared" si="149"/>
        <v>-8.1033063223122596E-3</v>
      </c>
      <c r="Q193" s="522">
        <f>AVERAGE(Tabuľka1578[[#This Row],[2013]:[2022]])</f>
        <v>-6.6753030341991535E-3</v>
      </c>
      <c r="R193" s="522">
        <f>Tabuľka1578[[#This Row],[Priemer]]</f>
        <v>-6.6753030341991535E-3</v>
      </c>
      <c r="S193" s="522">
        <f>Tabuľka1578[[#This Row],[2023]]</f>
        <v>-6.6753030341991535E-3</v>
      </c>
      <c r="T193" s="522">
        <f>Tabuľka1578[[#This Row],[2024]]</f>
        <v>-6.6753030341991535E-3</v>
      </c>
      <c r="U193" s="522">
        <f>Tabuľka1578[[#This Row],[2025]]</f>
        <v>-6.6753030341991535E-3</v>
      </c>
      <c r="V193" s="522">
        <f>Tabuľka1578[[#This Row],[2026]]</f>
        <v>-6.6753030341991535E-3</v>
      </c>
      <c r="W193" s="522">
        <f>Tabuľka1578[[#This Row],[2027]]</f>
        <v>-6.6753030341991535E-3</v>
      </c>
      <c r="X193" s="522">
        <f>Tabuľka1578[[#This Row],[2028]]</f>
        <v>-6.6753030341991535E-3</v>
      </c>
      <c r="Y193" s="522">
        <f>Tabuľka1578[[#This Row],[2029]]</f>
        <v>-6.6753030341991535E-3</v>
      </c>
      <c r="Z193" s="522">
        <f>Tabuľka1578[[#This Row],[2030]]</f>
        <v>-6.6753030341991535E-3</v>
      </c>
      <c r="AA193" s="522">
        <f>Tabuľka1578[[#This Row],[2031]]</f>
        <v>-6.6753030341991535E-3</v>
      </c>
      <c r="AB193" s="522">
        <f>Tabuľka1578[[#This Row],[2032]]</f>
        <v>-6.6753030341991535E-3</v>
      </c>
    </row>
    <row r="194" spans="2:29">
      <c r="B194" s="539" t="s">
        <v>49</v>
      </c>
      <c r="C194" s="539" t="s">
        <v>41</v>
      </c>
      <c r="D194" s="539" t="s">
        <v>23</v>
      </c>
      <c r="E194" s="540" t="s">
        <v>46</v>
      </c>
      <c r="F194" s="541"/>
      <c r="G194" s="555">
        <f t="shared" ref="G194:P194" si="150">G127/F59</f>
        <v>5.368358892686506E-5</v>
      </c>
      <c r="H194" s="555">
        <f t="shared" si="150"/>
        <v>-5.1891350248720611E-4</v>
      </c>
      <c r="I194" s="555">
        <f t="shared" si="150"/>
        <v>-2.8465545947687844E-3</v>
      </c>
      <c r="J194" s="555">
        <f t="shared" si="150"/>
        <v>-1.8851664332651082E-3</v>
      </c>
      <c r="K194" s="555">
        <f t="shared" si="150"/>
        <v>-1.0073210656017845E-3</v>
      </c>
      <c r="L194" s="555">
        <f t="shared" si="150"/>
        <v>-3.6732268577704952E-3</v>
      </c>
      <c r="M194" s="555">
        <f t="shared" si="150"/>
        <v>9.0361990132470675E-4</v>
      </c>
      <c r="N194" s="555">
        <f t="shared" si="150"/>
        <v>5.9585071231244241E-4</v>
      </c>
      <c r="O194" s="555">
        <f t="shared" si="150"/>
        <v>-1.7287426014147539E-2</v>
      </c>
      <c r="P194" s="555">
        <f t="shared" si="150"/>
        <v>-6.4453340188769326E-3</v>
      </c>
      <c r="Q194" s="522">
        <f>AVERAGE(Tabuľka1578[[#This Row],[2013]:[2022]])</f>
        <v>-3.2110788284353832E-3</v>
      </c>
      <c r="R194" s="522">
        <f>Tabuľka1578[[#This Row],[Priemer]]</f>
        <v>-3.2110788284353832E-3</v>
      </c>
      <c r="S194" s="522">
        <f>Tabuľka1578[[#This Row],[2023]]</f>
        <v>-3.2110788284353832E-3</v>
      </c>
      <c r="T194" s="522">
        <f>Tabuľka1578[[#This Row],[2024]]</f>
        <v>-3.2110788284353832E-3</v>
      </c>
      <c r="U194" s="522">
        <f>Tabuľka1578[[#This Row],[2025]]</f>
        <v>-3.2110788284353832E-3</v>
      </c>
      <c r="V194" s="522">
        <f>Tabuľka1578[[#This Row],[2026]]</f>
        <v>-3.2110788284353832E-3</v>
      </c>
      <c r="W194" s="522">
        <f>Tabuľka1578[[#This Row],[2027]]</f>
        <v>-3.2110788284353832E-3</v>
      </c>
      <c r="X194" s="522">
        <f>Tabuľka1578[[#This Row],[2028]]</f>
        <v>-3.2110788284353832E-3</v>
      </c>
      <c r="Y194" s="522">
        <f>Tabuľka1578[[#This Row],[2029]]</f>
        <v>-3.2110788284353832E-3</v>
      </c>
      <c r="Z194" s="522">
        <f>Tabuľka1578[[#This Row],[2030]]</f>
        <v>-3.2110788284353832E-3</v>
      </c>
      <c r="AA194" s="522">
        <f>Tabuľka1578[[#This Row],[2031]]</f>
        <v>-3.2110788284353832E-3</v>
      </c>
      <c r="AB194" s="522">
        <f>Tabuľka1578[[#This Row],[2032]]</f>
        <v>-3.2110788284353832E-3</v>
      </c>
    </row>
    <row r="195" spans="2:29">
      <c r="B195" s="539" t="s">
        <v>53</v>
      </c>
      <c r="C195" s="539" t="s">
        <v>41</v>
      </c>
      <c r="D195" s="539" t="s">
        <v>20</v>
      </c>
      <c r="E195" s="540" t="s">
        <v>21</v>
      </c>
      <c r="F195" s="541"/>
      <c r="G195" s="555">
        <f t="shared" ref="G195:P195" si="151">G128/F60</f>
        <v>-1.4378036414269067E-3</v>
      </c>
      <c r="H195" s="555">
        <f t="shared" si="151"/>
        <v>-4.0164903452666037E-3</v>
      </c>
      <c r="I195" s="555">
        <f t="shared" si="151"/>
        <v>-1.7804696178838281E-3</v>
      </c>
      <c r="J195" s="555">
        <f t="shared" si="151"/>
        <v>-9.1468992011708029E-4</v>
      </c>
      <c r="K195" s="555">
        <f t="shared" si="151"/>
        <v>-2.349853515625E-3</v>
      </c>
      <c r="L195" s="555">
        <f t="shared" si="151"/>
        <v>-2.6765776513413479E-3</v>
      </c>
      <c r="M195" s="555">
        <f t="shared" si="151"/>
        <v>-2.6684251690769394E-3</v>
      </c>
      <c r="N195" s="555">
        <f t="shared" si="151"/>
        <v>-4.5822889917426536E-3</v>
      </c>
      <c r="O195" s="555">
        <f t="shared" si="151"/>
        <v>-2.3804742411369428E-2</v>
      </c>
      <c r="P195" s="555">
        <f t="shared" si="151"/>
        <v>-6.1398234009557868E-3</v>
      </c>
      <c r="Q195" s="522">
        <f>AVERAGE(Tabuľka1578[[#This Row],[2013]:[2022]])</f>
        <v>-5.0371164664805576E-3</v>
      </c>
      <c r="R195" s="522">
        <f>Tabuľka1578[[#This Row],[Priemer]]</f>
        <v>-5.0371164664805576E-3</v>
      </c>
      <c r="S195" s="522">
        <f>Tabuľka1578[[#This Row],[2023]]</f>
        <v>-5.0371164664805576E-3</v>
      </c>
      <c r="T195" s="522">
        <f>Tabuľka1578[[#This Row],[2024]]</f>
        <v>-5.0371164664805576E-3</v>
      </c>
      <c r="U195" s="522">
        <f>Tabuľka1578[[#This Row],[2025]]</f>
        <v>-5.0371164664805576E-3</v>
      </c>
      <c r="V195" s="522">
        <f>Tabuľka1578[[#This Row],[2026]]</f>
        <v>-5.0371164664805576E-3</v>
      </c>
      <c r="W195" s="522">
        <f>Tabuľka1578[[#This Row],[2027]]</f>
        <v>-5.0371164664805576E-3</v>
      </c>
      <c r="X195" s="522">
        <f>Tabuľka1578[[#This Row],[2028]]</f>
        <v>-5.0371164664805576E-3</v>
      </c>
      <c r="Y195" s="522">
        <f>Tabuľka1578[[#This Row],[2029]]</f>
        <v>-5.0371164664805576E-3</v>
      </c>
      <c r="Z195" s="522">
        <f>Tabuľka1578[[#This Row],[2030]]</f>
        <v>-5.0371164664805576E-3</v>
      </c>
      <c r="AA195" s="522">
        <f>Tabuľka1578[[#This Row],[2031]]</f>
        <v>-5.0371164664805576E-3</v>
      </c>
      <c r="AB195" s="522">
        <f>Tabuľka1578[[#This Row],[2032]]</f>
        <v>-5.0371164664805576E-3</v>
      </c>
    </row>
    <row r="196" spans="2:29">
      <c r="B196" s="539" t="s">
        <v>799</v>
      </c>
      <c r="C196" s="539" t="s">
        <v>41</v>
      </c>
      <c r="D196" s="539" t="s">
        <v>34</v>
      </c>
      <c r="E196" s="540" t="s">
        <v>817</v>
      </c>
      <c r="F196" s="541"/>
      <c r="G196" s="555">
        <f t="shared" ref="G196:P196" si="152">G129/F61</f>
        <v>2.681014043406894E-2</v>
      </c>
      <c r="H196" s="555">
        <f t="shared" si="152"/>
        <v>3.0550621669627E-2</v>
      </c>
      <c r="I196" s="555">
        <f t="shared" si="152"/>
        <v>1.9131334022750777E-2</v>
      </c>
      <c r="J196" s="555">
        <f t="shared" si="152"/>
        <v>2.5706071368171823E-2</v>
      </c>
      <c r="K196" s="555">
        <f t="shared" si="152"/>
        <v>1.9785655399835119E-2</v>
      </c>
      <c r="L196" s="555">
        <f t="shared" si="152"/>
        <v>1.6814874696847212E-2</v>
      </c>
      <c r="M196" s="555">
        <f t="shared" si="152"/>
        <v>2.1784067419303547E-2</v>
      </c>
      <c r="N196" s="555">
        <f t="shared" si="152"/>
        <v>1.8985371926548398E-2</v>
      </c>
      <c r="O196" s="555">
        <f t="shared" si="152"/>
        <v>7.1777642028100185E-3</v>
      </c>
      <c r="P196" s="555">
        <f t="shared" si="152"/>
        <v>2.4867323730098558E-2</v>
      </c>
      <c r="Q196" s="522">
        <f>AVERAGE(Tabuľka1578[[#This Row],[2013]:[2022]])</f>
        <v>2.116132248700614E-2</v>
      </c>
      <c r="R196" s="522">
        <f>Tabuľka1578[[#This Row],[Priemer]]</f>
        <v>2.116132248700614E-2</v>
      </c>
      <c r="S196" s="522">
        <f>Tabuľka1578[[#This Row],[2023]]</f>
        <v>2.116132248700614E-2</v>
      </c>
      <c r="T196" s="522">
        <f>Tabuľka1578[[#This Row],[2024]]</f>
        <v>2.116132248700614E-2</v>
      </c>
      <c r="U196" s="522">
        <f>Tabuľka1578[[#This Row],[2025]]</f>
        <v>2.116132248700614E-2</v>
      </c>
      <c r="V196" s="522">
        <f>Tabuľka1578[[#This Row],[2026]]</f>
        <v>2.116132248700614E-2</v>
      </c>
      <c r="W196" s="522">
        <f>Tabuľka1578[[#This Row],[2027]]</f>
        <v>2.116132248700614E-2</v>
      </c>
      <c r="X196" s="522">
        <f>Tabuľka1578[[#This Row],[2028]]</f>
        <v>2.116132248700614E-2</v>
      </c>
      <c r="Y196" s="522">
        <f>Tabuľka1578[[#This Row],[2029]]</f>
        <v>2.116132248700614E-2</v>
      </c>
      <c r="Z196" s="522">
        <f>Tabuľka1578[[#This Row],[2030]]</f>
        <v>2.116132248700614E-2</v>
      </c>
      <c r="AA196" s="522">
        <f>Tabuľka1578[[#This Row],[2031]]</f>
        <v>2.116132248700614E-2</v>
      </c>
      <c r="AB196" s="522">
        <f>Tabuľka1578[[#This Row],[2032]]</f>
        <v>2.116132248700614E-2</v>
      </c>
    </row>
    <row r="197" spans="2:29">
      <c r="B197" s="539" t="s">
        <v>800</v>
      </c>
      <c r="C197" s="539" t="s">
        <v>41</v>
      </c>
      <c r="D197" s="539" t="s">
        <v>28</v>
      </c>
      <c r="E197" s="540" t="s">
        <v>826</v>
      </c>
      <c r="F197" s="541"/>
      <c r="G197" s="555">
        <f t="shared" ref="G197:P197" si="153">G130/F62</f>
        <v>-1.0960742646236438E-2</v>
      </c>
      <c r="H197" s="555">
        <f t="shared" si="153"/>
        <v>-4.4102680085943684E-3</v>
      </c>
      <c r="I197" s="555">
        <f t="shared" si="153"/>
        <v>-4.0890504316219902E-3</v>
      </c>
      <c r="J197" s="555">
        <f t="shared" si="153"/>
        <v>-4.2198905109489052E-3</v>
      </c>
      <c r="K197" s="555">
        <f t="shared" si="153"/>
        <v>-8.5900813194364906E-3</v>
      </c>
      <c r="L197" s="555">
        <f t="shared" si="153"/>
        <v>-1.02818853974122E-2</v>
      </c>
      <c r="M197" s="555">
        <f t="shared" si="153"/>
        <v>-1.8676316096649936E-3</v>
      </c>
      <c r="N197" s="555">
        <f t="shared" si="153"/>
        <v>-8.0692316688106662E-3</v>
      </c>
      <c r="O197" s="555">
        <f t="shared" si="153"/>
        <v>7.0738033482669184E-4</v>
      </c>
      <c r="P197" s="555">
        <f t="shared" si="153"/>
        <v>-6.5975494816211122E-3</v>
      </c>
      <c r="Q197" s="522">
        <f>AVERAGE(Tabuľka1578[[#This Row],[2013]:[2022]])</f>
        <v>-5.8378950739520468E-3</v>
      </c>
      <c r="R197" s="522">
        <f>Tabuľka1578[[#This Row],[Priemer]]</f>
        <v>-5.8378950739520468E-3</v>
      </c>
      <c r="S197" s="522">
        <f>Tabuľka1578[[#This Row],[2023]]</f>
        <v>-5.8378950739520468E-3</v>
      </c>
      <c r="T197" s="522">
        <f>Tabuľka1578[[#This Row],[2024]]</f>
        <v>-5.8378950739520468E-3</v>
      </c>
      <c r="U197" s="522">
        <f>Tabuľka1578[[#This Row],[2025]]</f>
        <v>-5.8378950739520468E-3</v>
      </c>
      <c r="V197" s="522">
        <f>Tabuľka1578[[#This Row],[2026]]</f>
        <v>-5.8378950739520468E-3</v>
      </c>
      <c r="W197" s="522">
        <f>Tabuľka1578[[#This Row],[2027]]</f>
        <v>-5.8378950739520468E-3</v>
      </c>
      <c r="X197" s="522">
        <f>Tabuľka1578[[#This Row],[2028]]</f>
        <v>-5.8378950739520468E-3</v>
      </c>
      <c r="Y197" s="522">
        <f>Tabuľka1578[[#This Row],[2029]]</f>
        <v>-5.8378950739520468E-3</v>
      </c>
      <c r="Z197" s="522">
        <f>Tabuľka1578[[#This Row],[2030]]</f>
        <v>-5.8378950739520468E-3</v>
      </c>
      <c r="AA197" s="522">
        <f>Tabuľka1578[[#This Row],[2031]]</f>
        <v>-5.8378950739520468E-3</v>
      </c>
      <c r="AB197" s="522">
        <f>Tabuľka1578[[#This Row],[2032]]</f>
        <v>-5.8378950739520468E-3</v>
      </c>
    </row>
    <row r="198" spans="2:29">
      <c r="B198" s="539" t="s">
        <v>801</v>
      </c>
      <c r="C198" s="539" t="s">
        <v>41</v>
      </c>
      <c r="D198" s="539" t="s">
        <v>34</v>
      </c>
      <c r="E198" s="540" t="s">
        <v>827</v>
      </c>
      <c r="F198" s="541"/>
      <c r="G198" s="555">
        <f t="shared" ref="G198:P198" si="154">G131/F63</f>
        <v>-5.0092844496264629E-3</v>
      </c>
      <c r="H198" s="555">
        <f t="shared" si="154"/>
        <v>-6.2063278503537173E-3</v>
      </c>
      <c r="I198" s="555">
        <f t="shared" si="154"/>
        <v>-5.9393833522578387E-3</v>
      </c>
      <c r="J198" s="555">
        <f t="shared" si="154"/>
        <v>-3.5146296459010631E-3</v>
      </c>
      <c r="K198" s="555">
        <f t="shared" si="154"/>
        <v>-4.1001675337271849E-3</v>
      </c>
      <c r="L198" s="555">
        <f t="shared" si="154"/>
        <v>-5.4893974943556597E-3</v>
      </c>
      <c r="M198" s="555">
        <f t="shared" si="154"/>
        <v>-9.7930113509904302E-3</v>
      </c>
      <c r="N198" s="555">
        <f t="shared" si="154"/>
        <v>-7.4623510901326139E-3</v>
      </c>
      <c r="O198" s="555">
        <f t="shared" si="154"/>
        <v>-5.0908102722043568E-2</v>
      </c>
      <c r="P198" s="555">
        <f t="shared" si="154"/>
        <v>-1.2073490813648294E-2</v>
      </c>
      <c r="Q198" s="522">
        <f>AVERAGE(Tabuľka1578[[#This Row],[2013]:[2022]])</f>
        <v>-1.1049614630303684E-2</v>
      </c>
      <c r="R198" s="522">
        <f>Tabuľka1578[[#This Row],[Priemer]]</f>
        <v>-1.1049614630303684E-2</v>
      </c>
      <c r="S198" s="522">
        <f>Tabuľka1578[[#This Row],[2023]]</f>
        <v>-1.1049614630303684E-2</v>
      </c>
      <c r="T198" s="522">
        <f>Tabuľka1578[[#This Row],[2024]]</f>
        <v>-1.1049614630303684E-2</v>
      </c>
      <c r="U198" s="522">
        <f>Tabuľka1578[[#This Row],[2025]]</f>
        <v>-1.1049614630303684E-2</v>
      </c>
      <c r="V198" s="522">
        <f>Tabuľka1578[[#This Row],[2026]]</f>
        <v>-1.1049614630303684E-2</v>
      </c>
      <c r="W198" s="522">
        <f>Tabuľka1578[[#This Row],[2027]]</f>
        <v>-1.1049614630303684E-2</v>
      </c>
      <c r="X198" s="522">
        <f>Tabuľka1578[[#This Row],[2028]]</f>
        <v>-1.1049614630303684E-2</v>
      </c>
      <c r="Y198" s="522">
        <f>Tabuľka1578[[#This Row],[2029]]</f>
        <v>-1.1049614630303684E-2</v>
      </c>
      <c r="Z198" s="522">
        <f>Tabuľka1578[[#This Row],[2030]]</f>
        <v>-1.1049614630303684E-2</v>
      </c>
      <c r="AA198" s="522">
        <f>Tabuľka1578[[#This Row],[2031]]</f>
        <v>-1.1049614630303684E-2</v>
      </c>
      <c r="AB198" s="522">
        <f>Tabuľka1578[[#This Row],[2032]]</f>
        <v>-1.1049614630303684E-2</v>
      </c>
    </row>
    <row r="199" spans="2:29">
      <c r="B199" s="539" t="s">
        <v>802</v>
      </c>
      <c r="C199" s="539" t="s">
        <v>41</v>
      </c>
      <c r="D199" s="539" t="s">
        <v>26</v>
      </c>
      <c r="E199" s="540" t="s">
        <v>56</v>
      </c>
      <c r="F199" s="541"/>
      <c r="G199" s="555">
        <f t="shared" ref="G199:P199" si="155">G132/F64</f>
        <v>2.4852844996729887E-3</v>
      </c>
      <c r="H199" s="555">
        <f t="shared" si="155"/>
        <v>2.6096033402922753E-4</v>
      </c>
      <c r="I199" s="555">
        <f t="shared" si="155"/>
        <v>1.0305243934255153E-2</v>
      </c>
      <c r="J199" s="555">
        <f t="shared" si="155"/>
        <v>5.164622336991608E-4</v>
      </c>
      <c r="K199" s="555">
        <f t="shared" si="155"/>
        <v>1.4195380049038585E-3</v>
      </c>
      <c r="L199" s="555">
        <f t="shared" si="155"/>
        <v>2.577319587628866E-4</v>
      </c>
      <c r="M199" s="555">
        <f t="shared" si="155"/>
        <v>-1.8036588508116465E-3</v>
      </c>
      <c r="N199" s="555">
        <f t="shared" si="155"/>
        <v>-2.1941146102219928E-3</v>
      </c>
      <c r="O199" s="555">
        <f t="shared" si="155"/>
        <v>-3.2466692536541199E-2</v>
      </c>
      <c r="P199" s="555">
        <f t="shared" si="155"/>
        <v>-7.4866310160427805E-3</v>
      </c>
      <c r="Q199" s="522">
        <f>AVERAGE(Tabuľka1578[[#This Row],[2013]:[2022]])</f>
        <v>-2.8705876048294339E-3</v>
      </c>
      <c r="R199" s="522">
        <f>Tabuľka1578[[#This Row],[Priemer]]</f>
        <v>-2.8705876048294339E-3</v>
      </c>
      <c r="S199" s="522">
        <f>Tabuľka1578[[#This Row],[2023]]</f>
        <v>-2.8705876048294339E-3</v>
      </c>
      <c r="T199" s="522">
        <f>Tabuľka1578[[#This Row],[2024]]</f>
        <v>-2.8705876048294339E-3</v>
      </c>
      <c r="U199" s="522">
        <f>Tabuľka1578[[#This Row],[2025]]</f>
        <v>-2.8705876048294339E-3</v>
      </c>
      <c r="V199" s="522">
        <f>Tabuľka1578[[#This Row],[2026]]</f>
        <v>-2.8705876048294339E-3</v>
      </c>
      <c r="W199" s="522">
        <f>Tabuľka1578[[#This Row],[2027]]</f>
        <v>-2.8705876048294339E-3</v>
      </c>
      <c r="X199" s="522">
        <f>Tabuľka1578[[#This Row],[2028]]</f>
        <v>-2.8705876048294339E-3</v>
      </c>
      <c r="Y199" s="522">
        <f>Tabuľka1578[[#This Row],[2029]]</f>
        <v>-2.8705876048294339E-3</v>
      </c>
      <c r="Z199" s="522">
        <f>Tabuľka1578[[#This Row],[2030]]</f>
        <v>-2.8705876048294339E-3</v>
      </c>
      <c r="AA199" s="522">
        <f>Tabuľka1578[[#This Row],[2031]]</f>
        <v>-2.8705876048294339E-3</v>
      </c>
      <c r="AB199" s="522">
        <f>Tabuľka1578[[#This Row],[2032]]</f>
        <v>-2.8705876048294339E-3</v>
      </c>
    </row>
    <row r="200" spans="2:29">
      <c r="B200" s="539" t="s">
        <v>803</v>
      </c>
      <c r="C200" s="539" t="s">
        <v>41</v>
      </c>
      <c r="D200" s="539" t="s">
        <v>34</v>
      </c>
      <c r="E200" s="540" t="s">
        <v>35</v>
      </c>
      <c r="F200" s="541"/>
      <c r="G200" s="555">
        <f t="shared" ref="G200:P200" si="156">G133/F65</f>
        <v>-1.0706638115631691E-2</v>
      </c>
      <c r="H200" s="555">
        <f t="shared" si="156"/>
        <v>-1.0822510822510822E-2</v>
      </c>
      <c r="I200" s="555">
        <f t="shared" si="156"/>
        <v>-6.3214198881594939E-3</v>
      </c>
      <c r="J200" s="555">
        <f t="shared" si="156"/>
        <v>-4.4042084658673843E-3</v>
      </c>
      <c r="K200" s="555">
        <f t="shared" si="156"/>
        <v>2.457606291472106E-4</v>
      </c>
      <c r="L200" s="555">
        <f t="shared" si="156"/>
        <v>-6.8796068796068794E-3</v>
      </c>
      <c r="M200" s="555">
        <f t="shared" si="156"/>
        <v>-8.1642751113310246E-3</v>
      </c>
      <c r="N200" s="555">
        <f t="shared" si="156"/>
        <v>-1.4966325767024195E-3</v>
      </c>
      <c r="O200" s="555">
        <f t="shared" si="156"/>
        <v>-3.7971521358980763E-2</v>
      </c>
      <c r="P200" s="555">
        <f t="shared" si="156"/>
        <v>-3.3757465593352376E-3</v>
      </c>
      <c r="Q200" s="522">
        <f>AVERAGE(Tabuľka1578[[#This Row],[2013]:[2022]])</f>
        <v>-8.9896799148978506E-3</v>
      </c>
      <c r="R200" s="522">
        <f>Tabuľka1578[[#This Row],[Priemer]]</f>
        <v>-8.9896799148978506E-3</v>
      </c>
      <c r="S200" s="522">
        <f>Tabuľka1578[[#This Row],[2023]]</f>
        <v>-8.9896799148978506E-3</v>
      </c>
      <c r="T200" s="522">
        <f>Tabuľka1578[[#This Row],[2024]]</f>
        <v>-8.9896799148978506E-3</v>
      </c>
      <c r="U200" s="522">
        <f>Tabuľka1578[[#This Row],[2025]]</f>
        <v>-8.9896799148978506E-3</v>
      </c>
      <c r="V200" s="522">
        <f>Tabuľka1578[[#This Row],[2026]]</f>
        <v>-8.9896799148978506E-3</v>
      </c>
      <c r="W200" s="522">
        <f>Tabuľka1578[[#This Row],[2027]]</f>
        <v>-8.9896799148978506E-3</v>
      </c>
      <c r="X200" s="522">
        <f>Tabuľka1578[[#This Row],[2028]]</f>
        <v>-8.9896799148978506E-3</v>
      </c>
      <c r="Y200" s="522">
        <f>Tabuľka1578[[#This Row],[2029]]</f>
        <v>-8.9896799148978506E-3</v>
      </c>
      <c r="Z200" s="522">
        <f>Tabuľka1578[[#This Row],[2030]]</f>
        <v>-8.9896799148978506E-3</v>
      </c>
      <c r="AA200" s="522">
        <f>Tabuľka1578[[#This Row],[2031]]</f>
        <v>-8.9896799148978506E-3</v>
      </c>
      <c r="AB200" s="522">
        <f>Tabuľka1578[[#This Row],[2032]]</f>
        <v>-8.9896799148978506E-3</v>
      </c>
    </row>
    <row r="201" spans="2:29">
      <c r="B201" s="539" t="s">
        <v>804</v>
      </c>
      <c r="C201" s="539" t="s">
        <v>41</v>
      </c>
      <c r="D201" s="539" t="s">
        <v>30</v>
      </c>
      <c r="E201" s="540" t="s">
        <v>32</v>
      </c>
      <c r="F201" s="541"/>
      <c r="G201" s="555">
        <f t="shared" ref="G201:P201" si="157">G134/F66</f>
        <v>-7.1757036737581485E-3</v>
      </c>
      <c r="H201" s="555">
        <f t="shared" si="157"/>
        <v>-4.5299536824960551E-3</v>
      </c>
      <c r="I201" s="555">
        <f t="shared" si="157"/>
        <v>-9.6124348092852026E-3</v>
      </c>
      <c r="J201" s="555">
        <f t="shared" si="157"/>
        <v>-3.562209602478059E-3</v>
      </c>
      <c r="K201" s="555">
        <f t="shared" si="157"/>
        <v>-5.8546189316615723E-3</v>
      </c>
      <c r="L201" s="555">
        <f t="shared" si="157"/>
        <v>-5.472170106316448E-3</v>
      </c>
      <c r="M201" s="555">
        <f t="shared" si="157"/>
        <v>-1.2105014934758686E-2</v>
      </c>
      <c r="N201" s="555">
        <f t="shared" si="157"/>
        <v>-9.7071928707829404E-3</v>
      </c>
      <c r="O201" s="555">
        <f t="shared" si="157"/>
        <v>-7.6222615030264076E-2</v>
      </c>
      <c r="P201" s="555">
        <f t="shared" si="157"/>
        <v>-1.2408674475240635E-2</v>
      </c>
      <c r="Q201" s="522">
        <f>AVERAGE(Tabuľka1578[[#This Row],[2013]:[2022]])</f>
        <v>-1.4665058811704181E-2</v>
      </c>
      <c r="R201" s="522">
        <f>Tabuľka1578[[#This Row],[Priemer]]</f>
        <v>-1.4665058811704181E-2</v>
      </c>
      <c r="S201" s="522">
        <f>Tabuľka1578[[#This Row],[2023]]</f>
        <v>-1.4665058811704181E-2</v>
      </c>
      <c r="T201" s="522">
        <f>Tabuľka1578[[#This Row],[2024]]</f>
        <v>-1.4665058811704181E-2</v>
      </c>
      <c r="U201" s="522">
        <f>Tabuľka1578[[#This Row],[2025]]</f>
        <v>-1.4665058811704181E-2</v>
      </c>
      <c r="V201" s="522">
        <f>Tabuľka1578[[#This Row],[2026]]</f>
        <v>-1.4665058811704181E-2</v>
      </c>
      <c r="W201" s="522">
        <f>Tabuľka1578[[#This Row],[2027]]</f>
        <v>-1.4665058811704181E-2</v>
      </c>
      <c r="X201" s="522">
        <f>Tabuľka1578[[#This Row],[2028]]</f>
        <v>-1.4665058811704181E-2</v>
      </c>
      <c r="Y201" s="522">
        <f>Tabuľka1578[[#This Row],[2029]]</f>
        <v>-1.4665058811704181E-2</v>
      </c>
      <c r="Z201" s="522">
        <f>Tabuľka1578[[#This Row],[2030]]</f>
        <v>-1.4665058811704181E-2</v>
      </c>
      <c r="AA201" s="522">
        <f>Tabuľka1578[[#This Row],[2031]]</f>
        <v>-1.4665058811704181E-2</v>
      </c>
      <c r="AB201" s="522">
        <f>Tabuľka1578[[#This Row],[2032]]</f>
        <v>-1.4665058811704181E-2</v>
      </c>
    </row>
    <row r="202" spans="2:29">
      <c r="B202" s="539" t="s">
        <v>54</v>
      </c>
      <c r="C202" s="539" t="s">
        <v>41</v>
      </c>
      <c r="D202" s="539" t="s">
        <v>26</v>
      </c>
      <c r="E202" s="540" t="s">
        <v>828</v>
      </c>
      <c r="F202" s="541"/>
      <c r="G202" s="555">
        <f t="shared" ref="G202:P202" si="158">G135/F67</f>
        <v>-1.3393625125949226E-3</v>
      </c>
      <c r="H202" s="555">
        <f t="shared" si="158"/>
        <v>-1.4518966938589692E-3</v>
      </c>
      <c r="I202" s="555">
        <f t="shared" si="158"/>
        <v>-5.0520608711724475E-4</v>
      </c>
      <c r="J202" s="555">
        <f t="shared" si="158"/>
        <v>-8.9996794634711645E-4</v>
      </c>
      <c r="K202" s="555">
        <f t="shared" si="158"/>
        <v>-7.7738428696585678E-4</v>
      </c>
      <c r="L202" s="555">
        <f t="shared" si="158"/>
        <v>-2.0746375558793745E-3</v>
      </c>
      <c r="M202" s="555">
        <f t="shared" si="158"/>
        <v>-1.0271006063605989E-3</v>
      </c>
      <c r="N202" s="555">
        <f t="shared" si="158"/>
        <v>-4.2241133697523752E-3</v>
      </c>
      <c r="O202" s="555">
        <f t="shared" si="158"/>
        <v>1.9331724429627051E-2</v>
      </c>
      <c r="P202" s="555">
        <f t="shared" si="158"/>
        <v>-8.799121308274347E-3</v>
      </c>
      <c r="Q202" s="522">
        <f>AVERAGE(Tabuľka1578[[#This Row],[2013]:[2022]])</f>
        <v>-1.7670659375237547E-4</v>
      </c>
      <c r="R202" s="522">
        <f>Tabuľka1578[[#This Row],[Priemer]]</f>
        <v>-1.7670659375237547E-4</v>
      </c>
      <c r="S202" s="522">
        <f>Tabuľka1578[[#This Row],[2023]]</f>
        <v>-1.7670659375237547E-4</v>
      </c>
      <c r="T202" s="522">
        <f>Tabuľka1578[[#This Row],[2024]]</f>
        <v>-1.7670659375237547E-4</v>
      </c>
      <c r="U202" s="522">
        <f>Tabuľka1578[[#This Row],[2025]]</f>
        <v>-1.7670659375237547E-4</v>
      </c>
      <c r="V202" s="522">
        <f>Tabuľka1578[[#This Row],[2026]]</f>
        <v>-1.7670659375237547E-4</v>
      </c>
      <c r="W202" s="522">
        <f>Tabuľka1578[[#This Row],[2027]]</f>
        <v>-1.7670659375237547E-4</v>
      </c>
      <c r="X202" s="522">
        <f>Tabuľka1578[[#This Row],[2028]]</f>
        <v>-1.7670659375237547E-4</v>
      </c>
      <c r="Y202" s="522">
        <f>Tabuľka1578[[#This Row],[2029]]</f>
        <v>-1.7670659375237547E-4</v>
      </c>
      <c r="Z202" s="522">
        <f>Tabuľka1578[[#This Row],[2030]]</f>
        <v>-1.7670659375237547E-4</v>
      </c>
      <c r="AA202" s="522">
        <f>Tabuľka1578[[#This Row],[2031]]</f>
        <v>-1.7670659375237547E-4</v>
      </c>
      <c r="AB202" s="522">
        <f>Tabuľka1578[[#This Row],[2032]]</f>
        <v>-1.7670659375237547E-4</v>
      </c>
    </row>
    <row r="203" spans="2:29">
      <c r="B203" s="539" t="s">
        <v>805</v>
      </c>
      <c r="C203" s="539" t="s">
        <v>41</v>
      </c>
      <c r="D203" s="539" t="s">
        <v>28</v>
      </c>
      <c r="E203" s="540" t="s">
        <v>826</v>
      </c>
      <c r="F203" s="541"/>
      <c r="G203" s="555">
        <f t="shared" ref="G203:P203" si="159">G136/F68</f>
        <v>-1.176954732510288E-2</v>
      </c>
      <c r="H203" s="555">
        <f t="shared" si="159"/>
        <v>-1.2659282085450155E-2</v>
      </c>
      <c r="I203" s="555">
        <f t="shared" si="159"/>
        <v>-5.7359763812737238E-3</v>
      </c>
      <c r="J203" s="555">
        <f t="shared" si="159"/>
        <v>-1.1113939085433105E-2</v>
      </c>
      <c r="K203" s="555">
        <f t="shared" si="159"/>
        <v>-6.2628689087165408E-3</v>
      </c>
      <c r="L203" s="555">
        <f t="shared" si="159"/>
        <v>-1.0187343520676854E-2</v>
      </c>
      <c r="M203" s="555">
        <f t="shared" si="159"/>
        <v>-7.849978194505015E-3</v>
      </c>
      <c r="N203" s="555">
        <f t="shared" si="159"/>
        <v>-1.2923076923076923E-2</v>
      </c>
      <c r="O203" s="555">
        <f t="shared" si="159"/>
        <v>5.1923762023512648E-2</v>
      </c>
      <c r="P203" s="555">
        <f t="shared" si="159"/>
        <v>7.6200152400304798E-4</v>
      </c>
      <c r="Q203" s="522">
        <f>AVERAGE(Tabuľka1578[[#This Row],[2013]:[2022]])</f>
        <v>-2.5816248876719501E-3</v>
      </c>
      <c r="R203" s="522">
        <f>Tabuľka1578[[#This Row],[Priemer]]</f>
        <v>-2.5816248876719501E-3</v>
      </c>
      <c r="S203" s="522">
        <f>Tabuľka1578[[#This Row],[2023]]</f>
        <v>-2.5816248876719501E-3</v>
      </c>
      <c r="T203" s="522">
        <f>Tabuľka1578[[#This Row],[2024]]</f>
        <v>-2.5816248876719501E-3</v>
      </c>
      <c r="U203" s="522">
        <f>Tabuľka1578[[#This Row],[2025]]</f>
        <v>-2.5816248876719501E-3</v>
      </c>
      <c r="V203" s="522">
        <f>Tabuľka1578[[#This Row],[2026]]</f>
        <v>-2.5816248876719501E-3</v>
      </c>
      <c r="W203" s="522">
        <f>Tabuľka1578[[#This Row],[2027]]</f>
        <v>-2.5816248876719501E-3</v>
      </c>
      <c r="X203" s="522">
        <f>Tabuľka1578[[#This Row],[2028]]</f>
        <v>-2.5816248876719501E-3</v>
      </c>
      <c r="Y203" s="522">
        <f>Tabuľka1578[[#This Row],[2029]]</f>
        <v>-2.5816248876719501E-3</v>
      </c>
      <c r="Z203" s="522">
        <f>Tabuľka1578[[#This Row],[2030]]</f>
        <v>-2.5816248876719501E-3</v>
      </c>
      <c r="AA203" s="522">
        <f>Tabuľka1578[[#This Row],[2031]]</f>
        <v>-2.5816248876719501E-3</v>
      </c>
      <c r="AB203" s="522">
        <f>Tabuľka1578[[#This Row],[2032]]</f>
        <v>-2.5816248876719501E-3</v>
      </c>
    </row>
    <row r="204" spans="2:29">
      <c r="B204" s="539" t="s">
        <v>42</v>
      </c>
      <c r="C204" s="539" t="s">
        <v>41</v>
      </c>
      <c r="D204" s="539" t="s">
        <v>30</v>
      </c>
      <c r="E204" s="540" t="s">
        <v>32</v>
      </c>
      <c r="F204" s="541"/>
      <c r="G204" s="555">
        <f t="shared" ref="G204:P204" si="160">G137/F69</f>
        <v>-1.1124501715027348E-3</v>
      </c>
      <c r="H204" s="555">
        <f t="shared" si="160"/>
        <v>-1.2296983758700696E-3</v>
      </c>
      <c r="I204" s="555">
        <f t="shared" si="160"/>
        <v>-4.1582456384881639E-3</v>
      </c>
      <c r="J204" s="555">
        <f t="shared" si="160"/>
        <v>-4.1989362694783991E-3</v>
      </c>
      <c r="K204" s="555">
        <f t="shared" si="160"/>
        <v>-4.9662668665667164E-3</v>
      </c>
      <c r="L204" s="555">
        <f t="shared" si="160"/>
        <v>-3.6491195027780394E-3</v>
      </c>
      <c r="M204" s="555">
        <f t="shared" si="160"/>
        <v>-3.638855414569599E-3</v>
      </c>
      <c r="N204" s="555">
        <f t="shared" si="160"/>
        <v>-1.778642066070624E-3</v>
      </c>
      <c r="O204" s="555">
        <f t="shared" si="160"/>
        <v>-4.4022617124394182E-2</v>
      </c>
      <c r="P204" s="555">
        <f t="shared" si="160"/>
        <v>-9.8163473247347109E-3</v>
      </c>
      <c r="Q204" s="559">
        <f>AVERAGE(Tabuľka1578[[#This Row],[2013]:[2022]])</f>
        <v>-7.8571178754453241E-3</v>
      </c>
      <c r="R204" s="559">
        <f>Tabuľka1578[[#This Row],[Priemer]]</f>
        <v>-7.8571178754453241E-3</v>
      </c>
      <c r="S204" s="559">
        <f>Tabuľka1578[[#This Row],[2023]]</f>
        <v>-7.8571178754453241E-3</v>
      </c>
      <c r="T204" s="559">
        <f>Tabuľka1578[[#This Row],[2024]]</f>
        <v>-7.8571178754453241E-3</v>
      </c>
      <c r="U204" s="559">
        <f>Tabuľka1578[[#This Row],[2025]]</f>
        <v>-7.8571178754453241E-3</v>
      </c>
      <c r="V204" s="559">
        <f>Tabuľka1578[[#This Row],[2026]]</f>
        <v>-7.8571178754453241E-3</v>
      </c>
      <c r="W204" s="559">
        <f>Tabuľka1578[[#This Row],[2027]]</f>
        <v>-7.8571178754453241E-3</v>
      </c>
      <c r="X204" s="559">
        <f>Tabuľka1578[[#This Row],[2028]]</f>
        <v>-7.8571178754453241E-3</v>
      </c>
      <c r="Y204" s="559">
        <f>Tabuľka1578[[#This Row],[2029]]</f>
        <v>-7.8571178754453241E-3</v>
      </c>
      <c r="Z204" s="559">
        <f>Tabuľka1578[[#This Row],[2030]]</f>
        <v>-7.8571178754453241E-3</v>
      </c>
      <c r="AA204" s="559">
        <f>Tabuľka1578[[#This Row],[2031]]</f>
        <v>-7.8571178754453241E-3</v>
      </c>
      <c r="AB204" s="559">
        <f>Tabuľka1578[[#This Row],[2032]]</f>
        <v>-7.8571178754453241E-3</v>
      </c>
    </row>
    <row r="206" spans="2:29">
      <c r="B206" t="s">
        <v>1045</v>
      </c>
    </row>
    <row r="207" spans="2:29">
      <c r="B207" t="s">
        <v>203</v>
      </c>
      <c r="F207" s="530">
        <f>SUM(F208:F209)</f>
        <v>2389044</v>
      </c>
      <c r="G207" s="530">
        <f t="shared" ref="G207:AB207" si="161">SUM(G208:G209)</f>
        <v>2384996</v>
      </c>
      <c r="H207" s="530">
        <f t="shared" si="161"/>
        <v>2379363</v>
      </c>
      <c r="I207" s="530">
        <f t="shared" si="161"/>
        <v>2376840</v>
      </c>
      <c r="J207" s="530">
        <f t="shared" si="161"/>
        <v>2373787</v>
      </c>
      <c r="K207" s="530">
        <f t="shared" si="161"/>
        <v>2370518</v>
      </c>
      <c r="L207" s="530">
        <f t="shared" si="161"/>
        <v>2365944</v>
      </c>
      <c r="M207" s="530">
        <f t="shared" si="161"/>
        <v>2362929</v>
      </c>
      <c r="N207" s="530">
        <f t="shared" si="161"/>
        <v>2355174</v>
      </c>
      <c r="O207" s="530">
        <f t="shared" si="161"/>
        <v>2343006</v>
      </c>
      <c r="P207" s="530">
        <f t="shared" si="161"/>
        <v>2327599</v>
      </c>
      <c r="Q207" s="530">
        <f t="shared" si="161"/>
        <v>0</v>
      </c>
      <c r="R207" s="530">
        <f t="shared" si="161"/>
        <v>2322880.6870415062</v>
      </c>
      <c r="S207" s="530">
        <f t="shared" si="161"/>
        <v>2318383.9880513325</v>
      </c>
      <c r="T207" s="530">
        <f t="shared" si="161"/>
        <v>2314109.3406300703</v>
      </c>
      <c r="U207" s="530">
        <f t="shared" si="161"/>
        <v>2310057.2164334422</v>
      </c>
      <c r="V207" s="530">
        <f t="shared" si="161"/>
        <v>2306228.1213603327</v>
      </c>
      <c r="W207" s="530">
        <f t="shared" si="161"/>
        <v>2302622.5957471458</v>
      </c>
      <c r="X207" s="530">
        <f t="shared" si="161"/>
        <v>2299241.2145685349</v>
      </c>
      <c r="Y207" s="530">
        <f t="shared" si="161"/>
        <v>2296084.5876445808</v>
      </c>
      <c r="Z207" s="530">
        <f t="shared" si="161"/>
        <v>2293153.3598544411</v>
      </c>
      <c r="AA207" s="530">
        <f t="shared" si="161"/>
        <v>2290448.2113565668</v>
      </c>
      <c r="AB207" s="530">
        <f t="shared" si="161"/>
        <v>2287969.8578154952</v>
      </c>
    </row>
    <row r="208" spans="2:29">
      <c r="B208" t="s">
        <v>1046</v>
      </c>
      <c r="F208" s="561">
        <v>962522</v>
      </c>
      <c r="G208" s="561">
        <v>962968</v>
      </c>
      <c r="H208" s="561">
        <v>963649</v>
      </c>
      <c r="I208" s="561">
        <v>965912</v>
      </c>
      <c r="J208" s="561">
        <v>967908</v>
      </c>
      <c r="K208" s="561">
        <v>970298</v>
      </c>
      <c r="L208" s="561">
        <v>971977</v>
      </c>
      <c r="M208" s="561">
        <v>974847</v>
      </c>
      <c r="N208" s="561">
        <v>975134</v>
      </c>
      <c r="O208" s="561">
        <v>1000747</v>
      </c>
      <c r="P208" s="561">
        <v>997259</v>
      </c>
      <c r="Q208" s="561">
        <v>0</v>
      </c>
      <c r="R208" s="561">
        <v>1001583.3435153989</v>
      </c>
      <c r="S208" s="561">
        <v>1006042.315593312</v>
      </c>
      <c r="T208" s="561">
        <v>1010637.0859546419</v>
      </c>
      <c r="U208" s="561">
        <v>1015368.8480963109</v>
      </c>
      <c r="V208" s="561">
        <v>1020238.8195430681</v>
      </c>
      <c r="W208" s="561">
        <v>1025248.2421037809</v>
      </c>
      <c r="X208" s="561">
        <v>1030398.3821322554</v>
      </c>
      <c r="Y208" s="561">
        <v>1035690.5307926374</v>
      </c>
      <c r="Z208" s="561">
        <v>1041126.0043294537</v>
      </c>
      <c r="AA208" s="561">
        <v>1046706.1443423425</v>
      </c>
      <c r="AB208" s="561">
        <v>1052432.3180655262</v>
      </c>
      <c r="AC208" s="561"/>
    </row>
    <row r="209" spans="2:29">
      <c r="B209" t="s">
        <v>1047</v>
      </c>
      <c r="F209" s="22">
        <v>1426522</v>
      </c>
      <c r="G209" s="561">
        <v>1422028</v>
      </c>
      <c r="H209" s="561">
        <v>1415714</v>
      </c>
      <c r="I209" s="561">
        <v>1410928</v>
      </c>
      <c r="J209" s="561">
        <v>1405879</v>
      </c>
      <c r="K209" s="561">
        <v>1400220</v>
      </c>
      <c r="L209" s="561">
        <v>1393967</v>
      </c>
      <c r="M209" s="561">
        <v>1388082</v>
      </c>
      <c r="N209" s="561">
        <v>1380040</v>
      </c>
      <c r="O209" s="561">
        <v>1342259</v>
      </c>
      <c r="P209" s="561">
        <v>1330340</v>
      </c>
      <c r="Q209" s="561">
        <v>0</v>
      </c>
      <c r="R209" s="561">
        <v>1321297.3435261075</v>
      </c>
      <c r="S209" s="561">
        <v>1312341.6724580207</v>
      </c>
      <c r="T209" s="561">
        <v>1303472.2546754286</v>
      </c>
      <c r="U209" s="561">
        <v>1294688.3683371316</v>
      </c>
      <c r="V209" s="561">
        <v>1285989.3018172649</v>
      </c>
      <c r="W209" s="561">
        <v>1277374.3536433647</v>
      </c>
      <c r="X209" s="561">
        <v>1268842.8324362796</v>
      </c>
      <c r="Y209" s="561">
        <v>1260394.0568519433</v>
      </c>
      <c r="Z209" s="561">
        <v>1252027.3555249877</v>
      </c>
      <c r="AA209" s="561">
        <v>1243742.0670142244</v>
      </c>
      <c r="AB209" s="561">
        <v>1235537.539749969</v>
      </c>
      <c r="AC209" s="561"/>
    </row>
    <row r="210" spans="2:29">
      <c r="B210" t="s">
        <v>1046</v>
      </c>
      <c r="F210" s="563">
        <f>F208/F207</f>
        <v>0.40289002630340837</v>
      </c>
      <c r="G210" s="563">
        <f t="shared" ref="G210:AB210" si="162">G208/G207</f>
        <v>0.40376084488192016</v>
      </c>
      <c r="H210" s="563">
        <f t="shared" si="162"/>
        <v>0.40500293565967027</v>
      </c>
      <c r="I210" s="563">
        <f t="shared" si="162"/>
        <v>0.40638494808232778</v>
      </c>
      <c r="J210" s="563">
        <f t="shared" si="162"/>
        <v>0.40774846268852261</v>
      </c>
      <c r="K210" s="563">
        <f t="shared" si="162"/>
        <v>0.40931897585253518</v>
      </c>
      <c r="L210" s="563">
        <f t="shared" si="162"/>
        <v>0.41081995178245978</v>
      </c>
      <c r="M210" s="563">
        <f t="shared" si="162"/>
        <v>0.4125587353661494</v>
      </c>
      <c r="N210" s="563">
        <f t="shared" si="162"/>
        <v>0.41403904764573657</v>
      </c>
      <c r="O210" s="563">
        <f t="shared" si="162"/>
        <v>0.42712097194800186</v>
      </c>
      <c r="P210" s="563">
        <f t="shared" si="162"/>
        <v>0.42844965992853579</v>
      </c>
      <c r="Q210" s="563" t="e">
        <f t="shared" si="162"/>
        <v>#DIV/0!</v>
      </c>
      <c r="R210" s="563">
        <f t="shared" si="162"/>
        <v>0.43118157084126735</v>
      </c>
      <c r="S210" s="563">
        <f t="shared" si="162"/>
        <v>0.43394119385672564</v>
      </c>
      <c r="T210" s="563">
        <f t="shared" si="162"/>
        <v>0.43672832057255878</v>
      </c>
      <c r="U210" s="563">
        <f t="shared" si="162"/>
        <v>0.43954272685243934</v>
      </c>
      <c r="V210" s="563">
        <f t="shared" si="162"/>
        <v>0.44238417270763242</v>
      </c>
      <c r="W210" s="563">
        <f t="shared" si="162"/>
        <v>0.44525240219451262</v>
      </c>
      <c r="X210" s="563">
        <f t="shared" si="162"/>
        <v>0.44814714332859384</v>
      </c>
      <c r="Y210" s="563">
        <f t="shared" si="162"/>
        <v>0.45106810801560748</v>
      </c>
      <c r="Z210" s="563">
        <f t="shared" si="162"/>
        <v>0.45401499200015982</v>
      </c>
      <c r="AA210" s="563">
        <f t="shared" si="162"/>
        <v>0.45698747483245145</v>
      </c>
      <c r="AB210" s="563">
        <f t="shared" si="162"/>
        <v>0.45998521985353691</v>
      </c>
      <c r="AC210" s="561"/>
    </row>
    <row r="211" spans="2:29">
      <c r="B211" t="s">
        <v>1047</v>
      </c>
      <c r="F211" s="563">
        <f>F209/F207</f>
        <v>0.59710997369659158</v>
      </c>
      <c r="G211" s="563">
        <f t="shared" ref="G211:AB211" si="163">G209/G207</f>
        <v>0.5962391551180799</v>
      </c>
      <c r="H211" s="563">
        <f t="shared" si="163"/>
        <v>0.59499706434032973</v>
      </c>
      <c r="I211" s="563">
        <f t="shared" si="163"/>
        <v>0.59361505191767217</v>
      </c>
      <c r="J211" s="563">
        <f t="shared" si="163"/>
        <v>0.59225153731147739</v>
      </c>
      <c r="K211" s="563">
        <f t="shared" si="163"/>
        <v>0.59068102414746482</v>
      </c>
      <c r="L211" s="563">
        <f t="shared" si="163"/>
        <v>0.58918004821754022</v>
      </c>
      <c r="M211" s="563">
        <f t="shared" si="163"/>
        <v>0.5874412646338506</v>
      </c>
      <c r="N211" s="563">
        <f t="shared" si="163"/>
        <v>0.58596095235426338</v>
      </c>
      <c r="O211" s="563">
        <f t="shared" si="163"/>
        <v>0.5728790280519982</v>
      </c>
      <c r="P211" s="563">
        <f t="shared" si="163"/>
        <v>0.57155034007146421</v>
      </c>
      <c r="Q211" s="563" t="e">
        <f t="shared" si="163"/>
        <v>#DIV/0!</v>
      </c>
      <c r="R211" s="563">
        <f t="shared" si="163"/>
        <v>0.56881842915873282</v>
      </c>
      <c r="S211" s="563">
        <f t="shared" si="163"/>
        <v>0.56605880614327442</v>
      </c>
      <c r="T211" s="563">
        <f t="shared" si="163"/>
        <v>0.56327167942744139</v>
      </c>
      <c r="U211" s="563">
        <f t="shared" si="163"/>
        <v>0.56045727314756077</v>
      </c>
      <c r="V211" s="563">
        <f t="shared" si="163"/>
        <v>0.55761582729236769</v>
      </c>
      <c r="W211" s="563">
        <f t="shared" si="163"/>
        <v>0.55474759780548721</v>
      </c>
      <c r="X211" s="563">
        <f t="shared" si="163"/>
        <v>0.55185285667140627</v>
      </c>
      <c r="Y211" s="563">
        <f t="shared" si="163"/>
        <v>0.54893189198439241</v>
      </c>
      <c r="Z211" s="563">
        <f t="shared" si="163"/>
        <v>0.54598500799984029</v>
      </c>
      <c r="AA211" s="563">
        <f t="shared" si="163"/>
        <v>0.54301252516754861</v>
      </c>
      <c r="AB211" s="563">
        <f t="shared" si="163"/>
        <v>0.54001478014646309</v>
      </c>
      <c r="AC211" s="561"/>
    </row>
  </sheetData>
  <phoneticPr fontId="70" type="noConversion"/>
  <hyperlinks>
    <hyperlink ref="B2" r:id="rId1" location="!/view/sk/VBD_DEM/om7012rr/v_om7012rr_00_00_00_sk"/>
  </hyperlinks>
  <pageMargins left="0.7" right="0.7" top="0.75" bottom="0.75" header="0.3" footer="0.3"/>
  <pageSetup paperSize="9" orientation="portrait" r:id="rId2"/>
  <tableParts count="3">
    <tablePart r:id="rId3"/>
    <tablePart r:id="rId4"/>
    <tablePart r:id="rId5"/>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2"/>
  <sheetViews>
    <sheetView workbookViewId="0">
      <selection activeCell="D27" sqref="D27"/>
    </sheetView>
  </sheetViews>
  <sheetFormatPr defaultRowHeight="15"/>
  <cols>
    <col min="1" max="1" width="24" bestFit="1" customWidth="1"/>
    <col min="2" max="2" width="13.140625" hidden="1" customWidth="1"/>
    <col min="3" max="5" width="8.85546875" customWidth="1"/>
    <col min="6" max="6" width="8.5703125" customWidth="1"/>
    <col min="9" max="9" width="8.7109375" customWidth="1"/>
  </cols>
  <sheetData>
    <row r="1" spans="1:12">
      <c r="A1" s="199" t="s">
        <v>334</v>
      </c>
      <c r="I1" t="s">
        <v>867</v>
      </c>
    </row>
    <row r="2" spans="1:12">
      <c r="A2" s="1973" t="s">
        <v>863</v>
      </c>
      <c r="B2" s="1974"/>
      <c r="C2" s="1974"/>
      <c r="D2" s="1974"/>
      <c r="E2" s="1974"/>
      <c r="F2" s="1974"/>
      <c r="G2" s="1974"/>
      <c r="H2" s="1974"/>
      <c r="I2" s="1974"/>
      <c r="J2" s="1974"/>
      <c r="K2" s="1974"/>
      <c r="L2" s="1975"/>
    </row>
    <row r="3" spans="1:12">
      <c r="A3" s="1971" t="s">
        <v>117</v>
      </c>
      <c r="B3" s="1971" t="s">
        <v>116</v>
      </c>
      <c r="C3" s="329"/>
      <c r="D3" s="329"/>
      <c r="E3" s="329"/>
      <c r="F3" s="329"/>
      <c r="G3" s="10"/>
      <c r="H3" s="10"/>
      <c r="I3" s="10"/>
      <c r="J3" s="10"/>
      <c r="K3" s="10"/>
      <c r="L3" s="10"/>
    </row>
    <row r="4" spans="1:12">
      <c r="A4" s="1971"/>
      <c r="B4" s="1971"/>
      <c r="C4" s="10">
        <v>2013</v>
      </c>
      <c r="D4" s="10">
        <v>2014</v>
      </c>
      <c r="E4" s="10">
        <v>2015</v>
      </c>
      <c r="F4" s="10">
        <v>2016</v>
      </c>
      <c r="G4" s="10">
        <v>2017</v>
      </c>
      <c r="H4" s="10">
        <v>2018</v>
      </c>
      <c r="I4" s="10">
        <v>2019</v>
      </c>
      <c r="J4" s="10">
        <v>2020</v>
      </c>
      <c r="K4" s="10">
        <v>2021</v>
      </c>
      <c r="L4" s="10">
        <v>2022</v>
      </c>
    </row>
    <row r="5" spans="1:12">
      <c r="A5" s="1972" t="s">
        <v>115</v>
      </c>
      <c r="B5" s="21" t="s">
        <v>118</v>
      </c>
      <c r="C5" s="360">
        <v>687971</v>
      </c>
      <c r="D5" s="360">
        <v>694652</v>
      </c>
      <c r="E5" s="360">
        <v>694643</v>
      </c>
      <c r="F5" s="360">
        <v>708486</v>
      </c>
      <c r="G5" s="360">
        <v>696659</v>
      </c>
      <c r="H5" s="360">
        <v>696314</v>
      </c>
      <c r="I5" s="360">
        <v>703565</v>
      </c>
      <c r="J5" s="360">
        <v>490170</v>
      </c>
      <c r="K5" s="360">
        <v>456068</v>
      </c>
      <c r="L5" s="360">
        <v>608838</v>
      </c>
    </row>
    <row r="6" spans="1:12" hidden="1">
      <c r="A6" s="1972"/>
      <c r="B6" s="20" t="s">
        <v>114</v>
      </c>
      <c r="C6" s="361"/>
      <c r="D6" s="361"/>
      <c r="E6" s="361"/>
      <c r="F6" s="361"/>
      <c r="G6" s="360"/>
      <c r="H6" s="360">
        <v>100.6</v>
      </c>
      <c r="I6" s="360">
        <v>101.3</v>
      </c>
      <c r="J6" s="360">
        <v>69.7</v>
      </c>
      <c r="K6" s="360">
        <v>93</v>
      </c>
      <c r="L6" s="360">
        <v>134</v>
      </c>
    </row>
    <row r="7" spans="1:12">
      <c r="A7" s="1965" t="s">
        <v>113</v>
      </c>
      <c r="B7" s="18" t="s">
        <v>118</v>
      </c>
      <c r="C7" s="362">
        <v>46064</v>
      </c>
      <c r="D7" s="362">
        <v>49272</v>
      </c>
      <c r="E7" s="362">
        <v>60566</v>
      </c>
      <c r="F7" s="362">
        <v>69529</v>
      </c>
      <c r="G7" s="363">
        <v>75370</v>
      </c>
      <c r="H7" s="363">
        <v>77753</v>
      </c>
      <c r="I7" s="363">
        <v>81420</v>
      </c>
      <c r="J7" s="363">
        <v>49577</v>
      </c>
      <c r="K7" s="363">
        <v>46345</v>
      </c>
      <c r="L7" s="363">
        <v>68138</v>
      </c>
    </row>
    <row r="8" spans="1:12" hidden="1">
      <c r="A8" s="1965"/>
      <c r="B8" s="18" t="s">
        <v>108</v>
      </c>
      <c r="C8" s="362"/>
      <c r="D8" s="362"/>
      <c r="E8" s="362"/>
      <c r="F8" s="362"/>
      <c r="G8" s="363"/>
      <c r="H8" s="363">
        <v>102.7</v>
      </c>
      <c r="I8" s="363">
        <v>104.8</v>
      </c>
      <c r="J8" s="363">
        <v>59.8</v>
      </c>
      <c r="K8" s="363">
        <v>94.5</v>
      </c>
      <c r="L8" s="363">
        <v>146.69999999999999</v>
      </c>
    </row>
    <row r="9" spans="1:12" ht="19.899999999999999" customHeight="1">
      <c r="A9" s="1966" t="s">
        <v>112</v>
      </c>
      <c r="B9" s="18" t="s">
        <v>118</v>
      </c>
      <c r="C9" s="362">
        <f>C11+C13</f>
        <v>639446</v>
      </c>
      <c r="D9" s="362">
        <f t="shared" ref="D9:L9" si="0">D11+D13</f>
        <v>642838</v>
      </c>
      <c r="E9" s="362">
        <f t="shared" si="0"/>
        <v>631643</v>
      </c>
      <c r="F9" s="362">
        <f t="shared" si="0"/>
        <v>636539</v>
      </c>
      <c r="G9" s="362">
        <f t="shared" si="0"/>
        <v>618832</v>
      </c>
      <c r="H9" s="362">
        <f t="shared" si="0"/>
        <v>617582</v>
      </c>
      <c r="I9" s="362">
        <f t="shared" si="0"/>
        <v>621548</v>
      </c>
      <c r="J9" s="362">
        <f t="shared" si="0"/>
        <v>440246</v>
      </c>
      <c r="K9" s="362">
        <f t="shared" si="0"/>
        <v>409285</v>
      </c>
      <c r="L9" s="362">
        <f t="shared" si="0"/>
        <v>539875</v>
      </c>
    </row>
    <row r="10" spans="1:12" hidden="1">
      <c r="A10" s="1967"/>
      <c r="B10" s="18" t="s">
        <v>108</v>
      </c>
      <c r="C10" s="362"/>
      <c r="D10" s="362"/>
      <c r="E10" s="362"/>
      <c r="F10" s="362"/>
      <c r="G10" s="363"/>
      <c r="H10" s="363">
        <v>100.3</v>
      </c>
      <c r="I10" s="363">
        <v>100.9</v>
      </c>
      <c r="J10" s="363">
        <v>71</v>
      </c>
      <c r="K10" s="363">
        <v>92.8</v>
      </c>
      <c r="L10" s="363">
        <v>132.5</v>
      </c>
    </row>
    <row r="11" spans="1:12">
      <c r="A11" s="1968" t="s">
        <v>111</v>
      </c>
      <c r="B11" s="18" t="s">
        <v>118</v>
      </c>
      <c r="C11" s="362">
        <v>270123</v>
      </c>
      <c r="D11" s="362">
        <v>262262</v>
      </c>
      <c r="E11" s="362">
        <v>252175</v>
      </c>
      <c r="F11" s="362">
        <v>259194</v>
      </c>
      <c r="G11" s="363">
        <v>245731</v>
      </c>
      <c r="H11" s="363">
        <v>242733</v>
      </c>
      <c r="I11" s="363">
        <v>238886</v>
      </c>
      <c r="J11" s="363">
        <v>156333</v>
      </c>
      <c r="K11" s="363">
        <v>149826</v>
      </c>
      <c r="L11" s="363">
        <v>166689</v>
      </c>
    </row>
    <row r="12" spans="1:12" hidden="1">
      <c r="A12" s="1969"/>
      <c r="B12" s="18" t="s">
        <v>108</v>
      </c>
      <c r="C12" s="362"/>
      <c r="D12" s="362"/>
      <c r="E12" s="362"/>
      <c r="F12" s="362"/>
      <c r="G12" s="363"/>
      <c r="H12" s="363">
        <v>99.8</v>
      </c>
      <c r="I12" s="363">
        <v>99</v>
      </c>
      <c r="J12" s="363">
        <v>65.400000000000006</v>
      </c>
      <c r="K12" s="363">
        <v>95.6</v>
      </c>
      <c r="L12" s="363">
        <v>131.69999999999999</v>
      </c>
    </row>
    <row r="13" spans="1:12">
      <c r="A13" s="1968" t="s">
        <v>110</v>
      </c>
      <c r="B13" s="18" t="s">
        <v>118</v>
      </c>
      <c r="C13" s="362">
        <v>369323</v>
      </c>
      <c r="D13" s="362">
        <v>380576</v>
      </c>
      <c r="E13" s="362">
        <v>379468</v>
      </c>
      <c r="F13" s="362">
        <v>377345</v>
      </c>
      <c r="G13" s="363">
        <v>373101</v>
      </c>
      <c r="H13" s="363">
        <v>374849</v>
      </c>
      <c r="I13" s="363">
        <v>382662</v>
      </c>
      <c r="J13" s="363">
        <v>283913</v>
      </c>
      <c r="K13" s="363">
        <v>259459</v>
      </c>
      <c r="L13" s="363">
        <v>373186</v>
      </c>
    </row>
    <row r="14" spans="1:12" hidden="1">
      <c r="A14" s="1968"/>
      <c r="B14" s="18" t="s">
        <v>108</v>
      </c>
      <c r="C14" s="362"/>
      <c r="D14" s="362"/>
      <c r="E14" s="362"/>
      <c r="F14" s="362"/>
      <c r="G14" s="363"/>
      <c r="H14" s="363">
        <v>100.6</v>
      </c>
      <c r="I14" s="363">
        <v>102.2</v>
      </c>
      <c r="J14" s="363">
        <v>74.5</v>
      </c>
      <c r="K14" s="363">
        <v>91.2</v>
      </c>
      <c r="L14" s="363">
        <v>133</v>
      </c>
    </row>
    <row r="15" spans="1:12">
      <c r="C15" s="364"/>
      <c r="D15" s="364"/>
      <c r="E15" s="364"/>
      <c r="F15" s="364"/>
      <c r="G15" s="364"/>
      <c r="H15" s="364"/>
      <c r="I15" s="364"/>
      <c r="J15" s="364"/>
      <c r="K15" s="364"/>
      <c r="L15" s="364"/>
    </row>
    <row r="16" spans="1:12">
      <c r="A16" s="1970" t="s">
        <v>864</v>
      </c>
      <c r="B16" s="1970"/>
      <c r="C16" s="1970"/>
      <c r="D16" s="1970"/>
      <c r="E16" s="1970"/>
      <c r="F16" s="1970"/>
      <c r="G16" s="1970"/>
      <c r="H16" s="1970"/>
      <c r="I16" s="1970"/>
      <c r="J16" s="1970"/>
      <c r="K16" s="1970"/>
      <c r="L16" s="1970"/>
    </row>
    <row r="17" spans="1:12">
      <c r="A17" s="1971" t="s">
        <v>117</v>
      </c>
      <c r="B17" s="1971" t="s">
        <v>116</v>
      </c>
      <c r="C17" s="329"/>
      <c r="D17" s="329"/>
      <c r="E17" s="329"/>
      <c r="F17" s="329"/>
      <c r="G17" s="10"/>
      <c r="H17" s="10"/>
      <c r="I17" s="10"/>
      <c r="J17" s="10"/>
      <c r="K17" s="10"/>
      <c r="L17" s="10"/>
    </row>
    <row r="18" spans="1:12">
      <c r="A18" s="1971"/>
      <c r="B18" s="1971"/>
      <c r="C18" s="10">
        <v>2013</v>
      </c>
      <c r="D18" s="10">
        <v>2014</v>
      </c>
      <c r="E18" s="10">
        <v>2015</v>
      </c>
      <c r="F18" s="10">
        <v>2016</v>
      </c>
      <c r="G18" s="10">
        <v>2017</v>
      </c>
      <c r="H18" s="10">
        <v>2018</v>
      </c>
      <c r="I18" s="10">
        <v>2019</v>
      </c>
      <c r="J18" s="10">
        <v>2020</v>
      </c>
      <c r="K18" s="10">
        <v>2021</v>
      </c>
      <c r="L18" s="10">
        <v>2022</v>
      </c>
    </row>
    <row r="19" spans="1:12">
      <c r="A19" s="1972" t="s">
        <v>115</v>
      </c>
      <c r="B19" s="21" t="s">
        <v>109</v>
      </c>
      <c r="C19" s="360">
        <v>9079</v>
      </c>
      <c r="D19" s="360">
        <v>9221</v>
      </c>
      <c r="E19" s="360">
        <v>10116</v>
      </c>
      <c r="F19" s="360">
        <v>10585</v>
      </c>
      <c r="G19" s="360">
        <v>11090</v>
      </c>
      <c r="H19" s="360">
        <v>11402</v>
      </c>
      <c r="I19" s="360">
        <v>11106</v>
      </c>
      <c r="J19" s="360">
        <v>6417</v>
      </c>
      <c r="K19" s="360">
        <v>6011</v>
      </c>
      <c r="L19" s="360">
        <v>9049</v>
      </c>
    </row>
    <row r="20" spans="1:12" hidden="1">
      <c r="A20" s="1972"/>
      <c r="B20" s="20" t="s">
        <v>114</v>
      </c>
      <c r="C20" s="361"/>
      <c r="D20" s="361"/>
      <c r="E20" s="361"/>
      <c r="F20" s="361"/>
      <c r="G20" s="360"/>
      <c r="H20" s="360"/>
      <c r="I20" s="360"/>
      <c r="J20" s="360"/>
      <c r="K20" s="360"/>
      <c r="L20" s="360"/>
    </row>
    <row r="21" spans="1:12" ht="21.6" customHeight="1">
      <c r="A21" s="1965" t="s">
        <v>113</v>
      </c>
      <c r="B21" s="18" t="s">
        <v>109</v>
      </c>
      <c r="C21" s="362">
        <v>2485</v>
      </c>
      <c r="D21" s="362">
        <v>2583</v>
      </c>
      <c r="E21" s="362">
        <v>3411</v>
      </c>
      <c r="F21" s="362">
        <v>3595</v>
      </c>
      <c r="G21" s="363">
        <v>3873</v>
      </c>
      <c r="H21" s="363">
        <v>3915</v>
      </c>
      <c r="I21" s="363">
        <v>4093</v>
      </c>
      <c r="J21" s="363">
        <v>2180</v>
      </c>
      <c r="K21" s="363">
        <v>2052</v>
      </c>
      <c r="L21" s="363">
        <v>3354</v>
      </c>
    </row>
    <row r="22" spans="1:12" hidden="1">
      <c r="A22" s="1965"/>
      <c r="B22" s="18" t="s">
        <v>108</v>
      </c>
      <c r="C22" s="362"/>
      <c r="D22" s="362"/>
      <c r="E22" s="362"/>
      <c r="F22" s="362"/>
      <c r="G22" s="363"/>
      <c r="H22" s="363"/>
      <c r="I22" s="363"/>
      <c r="J22" s="363"/>
      <c r="K22" s="363"/>
      <c r="L22" s="363"/>
    </row>
    <row r="23" spans="1:12">
      <c r="A23" s="1966" t="s">
        <v>112</v>
      </c>
      <c r="B23" s="18" t="s">
        <v>109</v>
      </c>
      <c r="C23" s="362">
        <f>C25+C27</f>
        <v>5533</v>
      </c>
      <c r="D23" s="362">
        <f t="shared" ref="D23:L23" si="1">D25+D27</f>
        <v>5610</v>
      </c>
      <c r="E23" s="362">
        <f t="shared" si="1"/>
        <v>5618</v>
      </c>
      <c r="F23" s="362">
        <f t="shared" si="1"/>
        <v>6193</v>
      </c>
      <c r="G23" s="362">
        <f t="shared" si="1"/>
        <v>6349</v>
      </c>
      <c r="H23" s="362">
        <f t="shared" si="1"/>
        <v>6693</v>
      </c>
      <c r="I23" s="362">
        <f t="shared" si="1"/>
        <v>6708</v>
      </c>
      <c r="J23" s="362">
        <f t="shared" si="1"/>
        <v>4119</v>
      </c>
      <c r="K23" s="362">
        <f t="shared" si="1"/>
        <v>3615</v>
      </c>
      <c r="L23" s="362">
        <f t="shared" si="1"/>
        <v>4854</v>
      </c>
    </row>
    <row r="24" spans="1:12" ht="4.1500000000000004" customHeight="1">
      <c r="A24" s="1967"/>
      <c r="B24" s="18" t="s">
        <v>108</v>
      </c>
      <c r="C24" s="362"/>
      <c r="D24" s="362"/>
      <c r="E24" s="362"/>
      <c r="F24" s="362"/>
      <c r="G24" s="363"/>
      <c r="H24" s="363"/>
      <c r="I24" s="363"/>
      <c r="J24" s="363"/>
      <c r="K24" s="363"/>
      <c r="L24" s="363"/>
    </row>
    <row r="25" spans="1:12">
      <c r="A25" s="1968" t="s">
        <v>111</v>
      </c>
      <c r="B25" s="18" t="s">
        <v>109</v>
      </c>
      <c r="C25" s="362">
        <v>4388</v>
      </c>
      <c r="D25" s="362">
        <v>4495</v>
      </c>
      <c r="E25" s="362">
        <v>4499</v>
      </c>
      <c r="F25" s="362">
        <v>4996</v>
      </c>
      <c r="G25" s="363">
        <v>5060</v>
      </c>
      <c r="H25" s="363">
        <v>5394</v>
      </c>
      <c r="I25" s="363">
        <v>5381</v>
      </c>
      <c r="J25" s="363">
        <v>3138</v>
      </c>
      <c r="K25" s="363">
        <v>2684</v>
      </c>
      <c r="L25" s="363">
        <v>3302</v>
      </c>
    </row>
    <row r="26" spans="1:12" ht="4.9000000000000004" customHeight="1">
      <c r="A26" s="1969"/>
      <c r="B26" s="18" t="s">
        <v>108</v>
      </c>
      <c r="C26" s="362"/>
      <c r="D26" s="362"/>
      <c r="E26" s="362"/>
      <c r="F26" s="362"/>
      <c r="G26" s="363"/>
      <c r="H26" s="363"/>
      <c r="I26" s="363"/>
      <c r="J26" s="363"/>
      <c r="K26" s="363"/>
      <c r="L26" s="363"/>
    </row>
    <row r="27" spans="1:12">
      <c r="A27" s="1968" t="s">
        <v>110</v>
      </c>
      <c r="B27" s="18" t="s">
        <v>109</v>
      </c>
      <c r="C27" s="362">
        <v>1145</v>
      </c>
      <c r="D27" s="362">
        <v>1115</v>
      </c>
      <c r="E27" s="362">
        <v>1119</v>
      </c>
      <c r="F27" s="362">
        <v>1197</v>
      </c>
      <c r="G27" s="363">
        <v>1289</v>
      </c>
      <c r="H27" s="363">
        <v>1299</v>
      </c>
      <c r="I27" s="363">
        <v>1327</v>
      </c>
      <c r="J27" s="363">
        <v>981</v>
      </c>
      <c r="K27" s="363">
        <v>931</v>
      </c>
      <c r="L27" s="363">
        <v>1552</v>
      </c>
    </row>
    <row r="28" spans="1:12" hidden="1">
      <c r="A28" s="1968"/>
      <c r="B28" s="18" t="s">
        <v>108</v>
      </c>
      <c r="C28" s="18"/>
      <c r="D28" s="18"/>
      <c r="E28" s="18"/>
      <c r="F28" s="18"/>
      <c r="G28" s="17"/>
      <c r="H28" s="16">
        <v>99.5</v>
      </c>
      <c r="I28" s="16">
        <v>102.8</v>
      </c>
      <c r="J28" s="16">
        <v>74.8</v>
      </c>
      <c r="K28" s="16">
        <v>94.7</v>
      </c>
      <c r="L28" s="16">
        <v>134.69999999999999</v>
      </c>
    </row>
    <row r="30" spans="1:12">
      <c r="A30" s="22"/>
    </row>
    <row r="32" spans="1:12">
      <c r="A32" s="338" t="s">
        <v>270</v>
      </c>
      <c r="C32" t="s">
        <v>862</v>
      </c>
    </row>
    <row r="33" spans="1:12">
      <c r="A33" s="199" t="s">
        <v>854</v>
      </c>
    </row>
    <row r="36" spans="1:12">
      <c r="A36" s="1973" t="s">
        <v>865</v>
      </c>
      <c r="B36" s="1974"/>
      <c r="C36" s="1974"/>
      <c r="D36" s="1974"/>
      <c r="E36" s="1974"/>
      <c r="F36" s="1974"/>
      <c r="G36" s="1974"/>
      <c r="H36" s="1974"/>
      <c r="I36" s="1974"/>
      <c r="J36" s="1974"/>
      <c r="K36" s="1974"/>
      <c r="L36" s="1975"/>
    </row>
    <row r="37" spans="1:12">
      <c r="A37" s="1971" t="s">
        <v>117</v>
      </c>
      <c r="B37" s="1971" t="s">
        <v>116</v>
      </c>
      <c r="C37" s="329"/>
      <c r="D37" s="329"/>
      <c r="E37" s="329"/>
      <c r="F37" s="329"/>
      <c r="G37" s="10"/>
      <c r="H37" s="10"/>
      <c r="I37" s="10"/>
      <c r="J37" s="10"/>
      <c r="K37" s="10"/>
      <c r="L37" s="10"/>
    </row>
    <row r="38" spans="1:12">
      <c r="A38" s="1971"/>
      <c r="B38" s="1971"/>
      <c r="C38" s="10">
        <v>2013</v>
      </c>
      <c r="D38" s="10">
        <v>2014</v>
      </c>
      <c r="E38" s="10">
        <v>2015</v>
      </c>
      <c r="F38" s="10">
        <v>2016</v>
      </c>
      <c r="G38" s="10">
        <v>2017</v>
      </c>
      <c r="H38" s="10">
        <v>2018</v>
      </c>
      <c r="I38" s="10">
        <v>2019</v>
      </c>
      <c r="J38" s="10">
        <v>2020</v>
      </c>
      <c r="K38" s="10">
        <v>2021</v>
      </c>
      <c r="L38" s="10">
        <v>2022</v>
      </c>
    </row>
    <row r="39" spans="1:12">
      <c r="A39" s="1972" t="s">
        <v>115</v>
      </c>
      <c r="B39" s="21" t="s">
        <v>118</v>
      </c>
      <c r="C39" s="360">
        <v>687971</v>
      </c>
      <c r="D39" s="360">
        <v>694652</v>
      </c>
      <c r="E39" s="360">
        <v>694643</v>
      </c>
      <c r="F39" s="360">
        <v>708486</v>
      </c>
      <c r="G39" s="360">
        <v>696659</v>
      </c>
      <c r="H39" s="360">
        <v>696314</v>
      </c>
      <c r="I39" s="360">
        <v>703565</v>
      </c>
      <c r="J39" s="360">
        <v>490170</v>
      </c>
      <c r="K39" s="360">
        <v>456068</v>
      </c>
      <c r="L39" s="360">
        <v>608838</v>
      </c>
    </row>
    <row r="40" spans="1:12">
      <c r="A40" s="1972"/>
      <c r="B40" s="20" t="s">
        <v>114</v>
      </c>
      <c r="C40" s="20"/>
      <c r="D40" s="356">
        <f>D39-C39</f>
        <v>6681</v>
      </c>
      <c r="E40" s="356">
        <f t="shared" ref="E40" si="2">E39-D39</f>
        <v>-9</v>
      </c>
      <c r="F40" s="356">
        <f t="shared" ref="F40" si="3">F39-E39</f>
        <v>13843</v>
      </c>
      <c r="G40" s="356">
        <f t="shared" ref="G40" si="4">G39-F39</f>
        <v>-11827</v>
      </c>
      <c r="H40" s="356">
        <f t="shared" ref="H40" si="5">H39-G39</f>
        <v>-345</v>
      </c>
      <c r="I40" s="356">
        <f t="shared" ref="I40:L40" si="6">I39-H39</f>
        <v>7251</v>
      </c>
      <c r="J40" s="356">
        <f t="shared" si="6"/>
        <v>-213395</v>
      </c>
      <c r="K40" s="356">
        <f t="shared" si="6"/>
        <v>-34102</v>
      </c>
      <c r="L40" s="356">
        <f t="shared" si="6"/>
        <v>152770</v>
      </c>
    </row>
    <row r="41" spans="1:12">
      <c r="A41" s="330"/>
      <c r="B41" s="20"/>
      <c r="C41" s="20"/>
      <c r="D41" s="358">
        <f>D40/C39</f>
        <v>9.7111651508566491E-3</v>
      </c>
      <c r="E41" s="358">
        <f t="shared" ref="E41" si="7">E40/D39</f>
        <v>-1.2956127672561224E-5</v>
      </c>
      <c r="F41" s="358">
        <f t="shared" ref="F41" si="8">F40/E39</f>
        <v>1.9928222122730668E-2</v>
      </c>
      <c r="G41" s="358">
        <f t="shared" ref="G41" si="9">G40/F39</f>
        <v>-1.6693343270015214E-2</v>
      </c>
      <c r="H41" s="358">
        <f t="shared" ref="H41" si="10">H40/G39</f>
        <v>-4.9522076080263085E-4</v>
      </c>
      <c r="I41" s="358">
        <f t="shared" ref="I41:L41" si="11">I40/H39</f>
        <v>1.0413405446393437E-2</v>
      </c>
      <c r="J41" s="358">
        <f t="shared" si="11"/>
        <v>-0.30330530938861372</v>
      </c>
      <c r="K41" s="358">
        <f t="shared" si="11"/>
        <v>-6.9571781218760842E-2</v>
      </c>
      <c r="L41" s="358">
        <f t="shared" si="11"/>
        <v>0.33497197786295024</v>
      </c>
    </row>
    <row r="42" spans="1:12">
      <c r="A42" s="1965" t="s">
        <v>113</v>
      </c>
      <c r="B42" s="18" t="s">
        <v>118</v>
      </c>
      <c r="C42" s="362">
        <v>46064</v>
      </c>
      <c r="D42" s="362">
        <v>49272</v>
      </c>
      <c r="E42" s="362">
        <v>60566</v>
      </c>
      <c r="F42" s="362">
        <v>69529</v>
      </c>
      <c r="G42" s="363">
        <v>75370</v>
      </c>
      <c r="H42" s="363">
        <v>77753</v>
      </c>
      <c r="I42" s="363">
        <v>81420</v>
      </c>
      <c r="J42" s="363">
        <v>49577</v>
      </c>
      <c r="K42" s="363">
        <v>46345</v>
      </c>
      <c r="L42" s="363">
        <v>68138</v>
      </c>
    </row>
    <row r="43" spans="1:12">
      <c r="A43" s="1965"/>
      <c r="B43" s="18" t="s">
        <v>108</v>
      </c>
      <c r="C43" s="18"/>
      <c r="D43" s="357">
        <f>D42-C42</f>
        <v>3208</v>
      </c>
      <c r="E43" s="357">
        <f t="shared" ref="E43" si="12">E42-D42</f>
        <v>11294</v>
      </c>
      <c r="F43" s="357">
        <f t="shared" ref="F43" si="13">F42-E42</f>
        <v>8963</v>
      </c>
      <c r="G43" s="357">
        <f t="shared" ref="G43" si="14">G42-F42</f>
        <v>5841</v>
      </c>
      <c r="H43" s="357">
        <f t="shared" ref="H43" si="15">H42-G42</f>
        <v>2383</v>
      </c>
      <c r="I43" s="357">
        <f t="shared" ref="I43:L43" si="16">I42-H42</f>
        <v>3667</v>
      </c>
      <c r="J43" s="357">
        <f t="shared" si="16"/>
        <v>-31843</v>
      </c>
      <c r="K43" s="357">
        <f t="shared" si="16"/>
        <v>-3232</v>
      </c>
      <c r="L43" s="357">
        <f t="shared" si="16"/>
        <v>21793</v>
      </c>
    </row>
    <row r="44" spans="1:12">
      <c r="A44" s="331"/>
      <c r="B44" s="18"/>
      <c r="C44" s="18"/>
      <c r="D44" s="359">
        <f>D43/C42</f>
        <v>6.9642236887808268E-2</v>
      </c>
      <c r="E44" s="359">
        <f t="shared" ref="E44" si="17">E43/D42</f>
        <v>0.22921740542295826</v>
      </c>
      <c r="F44" s="359">
        <f t="shared" ref="F44" si="18">F43/E42</f>
        <v>0.14798731961826767</v>
      </c>
      <c r="G44" s="359">
        <f t="shared" ref="G44" si="19">G43/F42</f>
        <v>8.4008111723165871E-2</v>
      </c>
      <c r="H44" s="359">
        <f t="shared" ref="H44" si="20">H43/G42</f>
        <v>3.1617354385033831E-2</v>
      </c>
      <c r="I44" s="359">
        <f t="shared" ref="I44:L44" si="21">I43/H42</f>
        <v>4.7162167376178413E-2</v>
      </c>
      <c r="J44" s="359">
        <f t="shared" si="21"/>
        <v>-0.39109555391795625</v>
      </c>
      <c r="K44" s="359">
        <f t="shared" si="21"/>
        <v>-6.5191520261411548E-2</v>
      </c>
      <c r="L44" s="359">
        <f t="shared" si="21"/>
        <v>0.47023411371237456</v>
      </c>
    </row>
    <row r="45" spans="1:12">
      <c r="A45" s="1966" t="s">
        <v>112</v>
      </c>
      <c r="B45" s="18" t="s">
        <v>118</v>
      </c>
      <c r="C45" s="18">
        <v>639446</v>
      </c>
      <c r="D45" s="18">
        <v>642838</v>
      </c>
      <c r="E45" s="18">
        <v>631643</v>
      </c>
      <c r="F45" s="18">
        <v>636539</v>
      </c>
      <c r="G45" s="19">
        <v>618832</v>
      </c>
      <c r="H45" s="19">
        <v>617582</v>
      </c>
      <c r="I45" s="19">
        <v>621548</v>
      </c>
      <c r="J45" s="19">
        <v>440246</v>
      </c>
      <c r="K45" s="19">
        <v>409285</v>
      </c>
      <c r="L45" s="19">
        <v>539875</v>
      </c>
    </row>
    <row r="46" spans="1:12">
      <c r="A46" s="1967"/>
      <c r="B46" s="18" t="s">
        <v>108</v>
      </c>
      <c r="C46" s="18"/>
      <c r="D46" s="357">
        <f>D45-C45</f>
        <v>3392</v>
      </c>
      <c r="E46" s="357">
        <f t="shared" ref="E46" si="22">E45-D45</f>
        <v>-11195</v>
      </c>
      <c r="F46" s="357">
        <f t="shared" ref="F46" si="23">F45-E45</f>
        <v>4896</v>
      </c>
      <c r="G46" s="357">
        <f t="shared" ref="G46" si="24">G45-F45</f>
        <v>-17707</v>
      </c>
      <c r="H46" s="357">
        <f t="shared" ref="H46" si="25">H45-G45</f>
        <v>-1250</v>
      </c>
      <c r="I46" s="357">
        <f t="shared" ref="I46" si="26">I45-H45</f>
        <v>3966</v>
      </c>
      <c r="J46" s="357">
        <f t="shared" ref="J46" si="27">J45-I45</f>
        <v>-181302</v>
      </c>
      <c r="K46" s="357">
        <f t="shared" ref="K46" si="28">K45-J45</f>
        <v>-30961</v>
      </c>
      <c r="L46" s="357">
        <f t="shared" ref="L46" si="29">L45-K45</f>
        <v>130590</v>
      </c>
    </row>
    <row r="47" spans="1:12">
      <c r="A47" s="328"/>
      <c r="B47" s="18"/>
      <c r="C47" s="18"/>
      <c r="D47" s="359">
        <f>D46/C45</f>
        <v>5.3045917872658523E-3</v>
      </c>
      <c r="E47" s="359">
        <f t="shared" ref="E47" si="30">E46/D45</f>
        <v>-1.7414963023343361E-2</v>
      </c>
      <c r="F47" s="359">
        <f t="shared" ref="F47" si="31">F46/E45</f>
        <v>7.7512138977238725E-3</v>
      </c>
      <c r="G47" s="359">
        <f t="shared" ref="G47" si="32">G46/F45</f>
        <v>-2.7817619973010296E-2</v>
      </c>
      <c r="H47" s="359">
        <f t="shared" ref="H47" si="33">H46/G45</f>
        <v>-2.0199343278951313E-3</v>
      </c>
      <c r="I47" s="359">
        <f t="shared" ref="I47" si="34">I46/H45</f>
        <v>6.421819288774608E-3</v>
      </c>
      <c r="J47" s="359">
        <f t="shared" ref="J47" si="35">J46/I45</f>
        <v>-0.29169428587977114</v>
      </c>
      <c r="K47" s="359">
        <f t="shared" ref="K47" si="36">K46/J45</f>
        <v>-7.0326590133697978E-2</v>
      </c>
      <c r="L47" s="359">
        <f t="shared" ref="L47" si="37">L46/K45</f>
        <v>0.31906861966600292</v>
      </c>
    </row>
    <row r="48" spans="1:12">
      <c r="A48" s="1968" t="s">
        <v>111</v>
      </c>
      <c r="B48" s="18" t="s">
        <v>118</v>
      </c>
      <c r="C48" s="362">
        <v>270123</v>
      </c>
      <c r="D48" s="362">
        <v>262262</v>
      </c>
      <c r="E48" s="362">
        <v>252175</v>
      </c>
      <c r="F48" s="362">
        <v>259194</v>
      </c>
      <c r="G48" s="363">
        <v>245731</v>
      </c>
      <c r="H48" s="363">
        <v>242733</v>
      </c>
      <c r="I48" s="363">
        <v>238886</v>
      </c>
      <c r="J48" s="363">
        <v>156333</v>
      </c>
      <c r="K48" s="363">
        <v>149826</v>
      </c>
      <c r="L48" s="363">
        <v>166689</v>
      </c>
    </row>
    <row r="49" spans="1:12">
      <c r="A49" s="1969"/>
      <c r="B49" s="18" t="s">
        <v>108</v>
      </c>
      <c r="C49" s="18"/>
      <c r="D49" s="357">
        <f>D48-C48</f>
        <v>-7861</v>
      </c>
      <c r="E49" s="357">
        <f t="shared" ref="E49" si="38">E48-D48</f>
        <v>-10087</v>
      </c>
      <c r="F49" s="357">
        <f t="shared" ref="F49" si="39">F48-E48</f>
        <v>7019</v>
      </c>
      <c r="G49" s="357">
        <f t="shared" ref="G49" si="40">G48-F48</f>
        <v>-13463</v>
      </c>
      <c r="H49" s="357">
        <f t="shared" ref="H49" si="41">H48-G48</f>
        <v>-2998</v>
      </c>
      <c r="I49" s="357">
        <f t="shared" ref="I49" si="42">I48-H48</f>
        <v>-3847</v>
      </c>
      <c r="J49" s="357">
        <f t="shared" ref="J49" si="43">J48-I48</f>
        <v>-82553</v>
      </c>
      <c r="K49" s="357">
        <f t="shared" ref="K49" si="44">K48-J48</f>
        <v>-6507</v>
      </c>
      <c r="L49" s="357">
        <f t="shared" ref="L49" si="45">L48-K48</f>
        <v>16863</v>
      </c>
    </row>
    <row r="50" spans="1:12">
      <c r="A50" s="332"/>
      <c r="B50" s="18"/>
      <c r="C50" s="18"/>
      <c r="D50" s="359">
        <f>D49/C48</f>
        <v>-2.9101557438648319E-2</v>
      </c>
      <c r="E50" s="359">
        <f t="shared" ref="E50" si="46">E49/D48</f>
        <v>-3.8461538461538464E-2</v>
      </c>
      <c r="F50" s="359">
        <f t="shared" ref="F50" si="47">F49/E48</f>
        <v>2.7833845543769206E-2</v>
      </c>
      <c r="G50" s="359">
        <f t="shared" ref="G50" si="48">G49/F48</f>
        <v>-5.1941788775974752E-2</v>
      </c>
      <c r="H50" s="359">
        <f t="shared" ref="H50" si="49">H49/G48</f>
        <v>-1.2200332884332869E-2</v>
      </c>
      <c r="I50" s="359">
        <f t="shared" ref="I50" si="50">I49/H48</f>
        <v>-1.5848689712564836E-2</v>
      </c>
      <c r="J50" s="359">
        <f t="shared" ref="J50" si="51">J49/I48</f>
        <v>-0.34557487671943937</v>
      </c>
      <c r="K50" s="359">
        <f t="shared" ref="K50" si="52">K49/J48</f>
        <v>-4.1622690027057624E-2</v>
      </c>
      <c r="L50" s="359">
        <f t="shared" ref="L50" si="53">L49/K48</f>
        <v>0.11255055864803172</v>
      </c>
    </row>
    <row r="51" spans="1:12">
      <c r="A51" s="1968" t="s">
        <v>110</v>
      </c>
      <c r="B51" s="18" t="s">
        <v>118</v>
      </c>
      <c r="C51" s="362">
        <v>369323</v>
      </c>
      <c r="D51" s="362">
        <v>380576</v>
      </c>
      <c r="E51" s="362">
        <v>379468</v>
      </c>
      <c r="F51" s="362">
        <v>377345</v>
      </c>
      <c r="G51" s="363">
        <v>373101</v>
      </c>
      <c r="H51" s="363">
        <v>374849</v>
      </c>
      <c r="I51" s="363">
        <v>382662</v>
      </c>
      <c r="J51" s="363">
        <v>283913</v>
      </c>
      <c r="K51" s="363">
        <v>259459</v>
      </c>
      <c r="L51" s="363">
        <v>373186</v>
      </c>
    </row>
    <row r="52" spans="1:12">
      <c r="A52" s="1968"/>
      <c r="B52" s="18" t="s">
        <v>108</v>
      </c>
      <c r="C52" s="18"/>
      <c r="D52" s="357">
        <f>D51-C51</f>
        <v>11253</v>
      </c>
      <c r="E52" s="357">
        <f t="shared" ref="E52" si="54">E51-D51</f>
        <v>-1108</v>
      </c>
      <c r="F52" s="357">
        <f t="shared" ref="F52" si="55">F51-E51</f>
        <v>-2123</v>
      </c>
      <c r="G52" s="357">
        <f t="shared" ref="G52" si="56">G51-F51</f>
        <v>-4244</v>
      </c>
      <c r="H52" s="357">
        <f t="shared" ref="H52" si="57">H51-G51</f>
        <v>1748</v>
      </c>
      <c r="I52" s="357">
        <f t="shared" ref="I52" si="58">I51-H51</f>
        <v>7813</v>
      </c>
      <c r="J52" s="357">
        <f t="shared" ref="J52" si="59">J51-I51</f>
        <v>-98749</v>
      </c>
      <c r="K52" s="357">
        <f t="shared" ref="K52" si="60">K51-J51</f>
        <v>-24454</v>
      </c>
      <c r="L52" s="357">
        <f t="shared" ref="L52" si="61">L51-K51</f>
        <v>113727</v>
      </c>
    </row>
    <row r="53" spans="1:12">
      <c r="A53" s="332"/>
      <c r="B53" s="18"/>
      <c r="C53" s="18"/>
      <c r="D53" s="359">
        <f>D52/C51</f>
        <v>3.04692640317554E-2</v>
      </c>
      <c r="E53" s="359">
        <f t="shared" ref="E53" si="62">E52/D51</f>
        <v>-2.9113764399226437E-3</v>
      </c>
      <c r="F53" s="359">
        <f t="shared" ref="F53" si="63">F52/E51</f>
        <v>-5.5946746497728397E-3</v>
      </c>
      <c r="G53" s="359">
        <f t="shared" ref="G53" si="64">G52/F51</f>
        <v>-1.1247002080324371E-2</v>
      </c>
      <c r="H53" s="359">
        <f t="shared" ref="H53" si="65">H52/G51</f>
        <v>4.6850584694224885E-3</v>
      </c>
      <c r="I53" s="359">
        <f t="shared" ref="I53" si="66">I52/H51</f>
        <v>2.0843059471947371E-2</v>
      </c>
      <c r="J53" s="359">
        <f t="shared" ref="J53" si="67">J52/I51</f>
        <v>-0.25805802509786707</v>
      </c>
      <c r="K53" s="359">
        <f t="shared" ref="K53" si="68">K52/J51</f>
        <v>-8.6132019315776312E-2</v>
      </c>
      <c r="L53" s="359">
        <f t="shared" ref="L53" si="69">L52/K51</f>
        <v>0.43832358869802163</v>
      </c>
    </row>
    <row r="55" spans="1:12">
      <c r="A55" s="1970" t="s">
        <v>866</v>
      </c>
      <c r="B55" s="1970"/>
      <c r="C55" s="1970"/>
      <c r="D55" s="1970"/>
      <c r="E55" s="1970"/>
      <c r="F55" s="1970"/>
      <c r="G55" s="1970"/>
      <c r="H55" s="1970"/>
      <c r="I55" s="1970"/>
      <c r="J55" s="1970"/>
      <c r="K55" s="1970"/>
      <c r="L55" s="1970"/>
    </row>
    <row r="56" spans="1:12">
      <c r="A56" s="1971" t="s">
        <v>117</v>
      </c>
      <c r="B56" s="1971" t="s">
        <v>116</v>
      </c>
      <c r="C56" s="329"/>
      <c r="D56" s="329"/>
      <c r="E56" s="329"/>
      <c r="F56" s="329"/>
      <c r="G56" s="10"/>
      <c r="H56" s="10"/>
      <c r="I56" s="10"/>
      <c r="J56" s="10"/>
      <c r="K56" s="10"/>
      <c r="L56" s="10"/>
    </row>
    <row r="57" spans="1:12">
      <c r="A57" s="1971"/>
      <c r="B57" s="1971"/>
      <c r="C57" s="10">
        <v>2013</v>
      </c>
      <c r="D57" s="10">
        <v>2014</v>
      </c>
      <c r="E57" s="10">
        <v>2015</v>
      </c>
      <c r="F57" s="10">
        <v>2016</v>
      </c>
      <c r="G57" s="10">
        <v>2017</v>
      </c>
      <c r="H57" s="10">
        <v>2018</v>
      </c>
      <c r="I57" s="10">
        <v>2019</v>
      </c>
      <c r="J57" s="10">
        <v>2020</v>
      </c>
      <c r="K57" s="10">
        <v>2021</v>
      </c>
      <c r="L57" s="10">
        <v>2022</v>
      </c>
    </row>
    <row r="58" spans="1:12">
      <c r="A58" s="1972" t="s">
        <v>115</v>
      </c>
      <c r="B58" s="21" t="s">
        <v>118</v>
      </c>
      <c r="C58" s="360">
        <v>9079</v>
      </c>
      <c r="D58" s="360">
        <v>9221</v>
      </c>
      <c r="E58" s="360">
        <v>10116</v>
      </c>
      <c r="F58" s="360">
        <v>10585</v>
      </c>
      <c r="G58" s="360">
        <v>11090</v>
      </c>
      <c r="H58" s="360">
        <v>11402</v>
      </c>
      <c r="I58" s="360">
        <v>11106</v>
      </c>
      <c r="J58" s="360">
        <v>6417</v>
      </c>
      <c r="K58" s="360">
        <v>6011</v>
      </c>
      <c r="L58" s="360">
        <v>9049</v>
      </c>
    </row>
    <row r="59" spans="1:12">
      <c r="A59" s="1972"/>
      <c r="B59" s="20" t="s">
        <v>114</v>
      </c>
      <c r="C59" s="20"/>
      <c r="D59" s="356">
        <f>D58-C58</f>
        <v>142</v>
      </c>
      <c r="E59" s="356">
        <f t="shared" ref="E59" si="70">E58-D58</f>
        <v>895</v>
      </c>
      <c r="F59" s="356">
        <f t="shared" ref="F59" si="71">F58-E58</f>
        <v>469</v>
      </c>
      <c r="G59" s="356">
        <f t="shared" ref="G59" si="72">G58-F58</f>
        <v>505</v>
      </c>
      <c r="H59" s="356">
        <f t="shared" ref="H59" si="73">H58-G58</f>
        <v>312</v>
      </c>
      <c r="I59" s="356">
        <f t="shared" ref="I59" si="74">I58-H58</f>
        <v>-296</v>
      </c>
      <c r="J59" s="356">
        <f t="shared" ref="J59" si="75">J58-I58</f>
        <v>-4689</v>
      </c>
      <c r="K59" s="356">
        <f t="shared" ref="K59" si="76">K58-J58</f>
        <v>-406</v>
      </c>
      <c r="L59" s="356">
        <f t="shared" ref="L59" si="77">L58-K58</f>
        <v>3038</v>
      </c>
    </row>
    <row r="60" spans="1:12">
      <c r="A60" s="330"/>
      <c r="B60" s="20"/>
      <c r="C60" s="20"/>
      <c r="D60" s="358">
        <f>D59/C58</f>
        <v>1.5640489040643243E-2</v>
      </c>
      <c r="E60" s="358">
        <f t="shared" ref="E60" si="78">E59/D58</f>
        <v>9.7061056284567834E-2</v>
      </c>
      <c r="F60" s="358">
        <f t="shared" ref="F60" si="79">F59/E58</f>
        <v>4.6362198497429813E-2</v>
      </c>
      <c r="G60" s="358">
        <f t="shared" ref="G60" si="80">G59/F58</f>
        <v>4.7709022201228156E-2</v>
      </c>
      <c r="H60" s="358">
        <f t="shared" ref="H60" si="81">H59/G58</f>
        <v>2.8133453561767358E-2</v>
      </c>
      <c r="I60" s="358">
        <f t="shared" ref="I60" si="82">I59/H58</f>
        <v>-2.5960357831959307E-2</v>
      </c>
      <c r="J60" s="358">
        <f t="shared" ref="J60" si="83">J59/I58</f>
        <v>-0.42220421393841168</v>
      </c>
      <c r="K60" s="358">
        <f t="shared" ref="K60" si="84">K59/J58</f>
        <v>-6.326944054854293E-2</v>
      </c>
      <c r="L60" s="358">
        <f t="shared" ref="L60" si="85">L59/K58</f>
        <v>0.50540675428381299</v>
      </c>
    </row>
    <row r="61" spans="1:12">
      <c r="A61" s="1965" t="s">
        <v>113</v>
      </c>
      <c r="B61" s="18" t="s">
        <v>118</v>
      </c>
      <c r="C61" s="362">
        <v>2485</v>
      </c>
      <c r="D61" s="362">
        <v>2583</v>
      </c>
      <c r="E61" s="362">
        <v>3411</v>
      </c>
      <c r="F61" s="362">
        <v>3595</v>
      </c>
      <c r="G61" s="363">
        <v>3873</v>
      </c>
      <c r="H61" s="363">
        <v>3915</v>
      </c>
      <c r="I61" s="363">
        <v>4093</v>
      </c>
      <c r="J61" s="363">
        <v>2180</v>
      </c>
      <c r="K61" s="363">
        <v>2052</v>
      </c>
      <c r="L61" s="363">
        <v>3354</v>
      </c>
    </row>
    <row r="62" spans="1:12">
      <c r="A62" s="1965"/>
      <c r="B62" s="18" t="s">
        <v>108</v>
      </c>
      <c r="C62" s="18"/>
      <c r="D62" s="357">
        <f>D61-C61</f>
        <v>98</v>
      </c>
      <c r="E62" s="357">
        <f t="shared" ref="E62" si="86">E61-D61</f>
        <v>828</v>
      </c>
      <c r="F62" s="357">
        <f t="shared" ref="F62" si="87">F61-E61</f>
        <v>184</v>
      </c>
      <c r="G62" s="357">
        <f t="shared" ref="G62" si="88">G61-F61</f>
        <v>278</v>
      </c>
      <c r="H62" s="357">
        <f t="shared" ref="H62" si="89">H61-G61</f>
        <v>42</v>
      </c>
      <c r="I62" s="357">
        <f t="shared" ref="I62" si="90">I61-H61</f>
        <v>178</v>
      </c>
      <c r="J62" s="357">
        <f t="shared" ref="J62" si="91">J61-I61</f>
        <v>-1913</v>
      </c>
      <c r="K62" s="357">
        <f t="shared" ref="K62" si="92">K61-J61</f>
        <v>-128</v>
      </c>
      <c r="L62" s="357">
        <f t="shared" ref="L62" si="93">L61-K61</f>
        <v>1302</v>
      </c>
    </row>
    <row r="63" spans="1:12">
      <c r="A63" s="331"/>
      <c r="B63" s="18"/>
      <c r="C63" s="18"/>
      <c r="D63" s="359">
        <f>D62/C61</f>
        <v>3.9436619718309862E-2</v>
      </c>
      <c r="E63" s="359">
        <f t="shared" ref="E63" si="94">E62/D61</f>
        <v>0.32055749128919858</v>
      </c>
      <c r="F63" s="359">
        <f t="shared" ref="F63" si="95">F62/E61</f>
        <v>5.3943125183230724E-2</v>
      </c>
      <c r="G63" s="359">
        <f t="shared" ref="G63" si="96">G62/F61</f>
        <v>7.7329624478442285E-2</v>
      </c>
      <c r="H63" s="359">
        <f t="shared" ref="H63" si="97">H62/G61</f>
        <v>1.0844306738962044E-2</v>
      </c>
      <c r="I63" s="359">
        <f t="shared" ref="I63" si="98">I62/H61</f>
        <v>4.54661558109834E-2</v>
      </c>
      <c r="J63" s="359">
        <f t="shared" ref="J63" si="99">J62/I61</f>
        <v>-0.46738333740532617</v>
      </c>
      <c r="K63" s="359">
        <f t="shared" ref="K63" si="100">K62/J61</f>
        <v>-5.8715596330275233E-2</v>
      </c>
      <c r="L63" s="359">
        <f t="shared" ref="L63" si="101">L62/K61</f>
        <v>0.63450292397660824</v>
      </c>
    </row>
    <row r="64" spans="1:12">
      <c r="A64" s="1966" t="s">
        <v>112</v>
      </c>
      <c r="B64" s="18" t="s">
        <v>118</v>
      </c>
      <c r="C64" s="18">
        <v>5533</v>
      </c>
      <c r="D64" s="18">
        <v>5610</v>
      </c>
      <c r="E64" s="18">
        <v>5618</v>
      </c>
      <c r="F64" s="18">
        <v>6193</v>
      </c>
      <c r="G64" s="19">
        <v>6349</v>
      </c>
      <c r="H64" s="19">
        <v>6693</v>
      </c>
      <c r="I64" s="19">
        <v>6708</v>
      </c>
      <c r="J64" s="19">
        <v>4119</v>
      </c>
      <c r="K64" s="19">
        <v>3615</v>
      </c>
      <c r="L64" s="19">
        <v>4854</v>
      </c>
    </row>
    <row r="65" spans="1:12">
      <c r="A65" s="1967"/>
      <c r="B65" s="18" t="s">
        <v>108</v>
      </c>
      <c r="C65" s="18"/>
      <c r="D65" s="357">
        <f>D64-C64</f>
        <v>77</v>
      </c>
      <c r="E65" s="357">
        <f t="shared" ref="E65" si="102">E64-D64</f>
        <v>8</v>
      </c>
      <c r="F65" s="357">
        <f t="shared" ref="F65" si="103">F64-E64</f>
        <v>575</v>
      </c>
      <c r="G65" s="357">
        <f t="shared" ref="G65" si="104">G64-F64</f>
        <v>156</v>
      </c>
      <c r="H65" s="357">
        <f t="shared" ref="H65" si="105">H64-G64</f>
        <v>344</v>
      </c>
      <c r="I65" s="357">
        <f t="shared" ref="I65" si="106">I64-H64</f>
        <v>15</v>
      </c>
      <c r="J65" s="357">
        <f t="shared" ref="J65" si="107">J64-I64</f>
        <v>-2589</v>
      </c>
      <c r="K65" s="357">
        <f t="shared" ref="K65" si="108">K64-J64</f>
        <v>-504</v>
      </c>
      <c r="L65" s="357">
        <f t="shared" ref="L65" si="109">L64-K64</f>
        <v>1239</v>
      </c>
    </row>
    <row r="66" spans="1:12">
      <c r="A66" s="328"/>
      <c r="B66" s="18"/>
      <c r="C66" s="18"/>
      <c r="D66" s="359">
        <f>D65/C64</f>
        <v>1.3916500994035786E-2</v>
      </c>
      <c r="E66" s="359">
        <f t="shared" ref="E66" si="110">E65/D64</f>
        <v>1.4260249554367201E-3</v>
      </c>
      <c r="F66" s="359">
        <f t="shared" ref="F66" si="111">F65/E64</f>
        <v>0.10234959060163759</v>
      </c>
      <c r="G66" s="359">
        <f t="shared" ref="G66" si="112">G65/F64</f>
        <v>2.5189730340707251E-2</v>
      </c>
      <c r="H66" s="359">
        <f t="shared" ref="H66" si="113">H65/G64</f>
        <v>5.4181760907229488E-2</v>
      </c>
      <c r="I66" s="359">
        <f t="shared" ref="I66" si="114">I65/H64</f>
        <v>2.2411474675033617E-3</v>
      </c>
      <c r="J66" s="359">
        <f t="shared" ref="J66" si="115">J65/I64</f>
        <v>-0.38595706618962433</v>
      </c>
      <c r="K66" s="359">
        <f t="shared" ref="K66" si="116">K65/J64</f>
        <v>-0.12235979606700656</v>
      </c>
      <c r="L66" s="359">
        <f t="shared" ref="L66" si="117">L65/K64</f>
        <v>0.34273858921161826</v>
      </c>
    </row>
    <row r="67" spans="1:12">
      <c r="A67" s="1968" t="s">
        <v>111</v>
      </c>
      <c r="B67" s="18" t="s">
        <v>118</v>
      </c>
      <c r="C67" s="362">
        <v>4388</v>
      </c>
      <c r="D67" s="362">
        <v>4495</v>
      </c>
      <c r="E67" s="362">
        <v>4499</v>
      </c>
      <c r="F67" s="362">
        <v>4996</v>
      </c>
      <c r="G67" s="363">
        <v>5060</v>
      </c>
      <c r="H67" s="363">
        <v>5394</v>
      </c>
      <c r="I67" s="363">
        <v>5381</v>
      </c>
      <c r="J67" s="363">
        <v>3138</v>
      </c>
      <c r="K67" s="363">
        <v>2684</v>
      </c>
      <c r="L67" s="363">
        <v>3302</v>
      </c>
    </row>
    <row r="68" spans="1:12">
      <c r="A68" s="1969"/>
      <c r="B68" s="18" t="s">
        <v>108</v>
      </c>
      <c r="C68" s="18"/>
      <c r="D68" s="357">
        <f>D67-C67</f>
        <v>107</v>
      </c>
      <c r="E68" s="357">
        <f t="shared" ref="E68" si="118">E67-D67</f>
        <v>4</v>
      </c>
      <c r="F68" s="357">
        <f t="shared" ref="F68" si="119">F67-E67</f>
        <v>497</v>
      </c>
      <c r="G68" s="357">
        <f t="shared" ref="G68" si="120">G67-F67</f>
        <v>64</v>
      </c>
      <c r="H68" s="357">
        <f t="shared" ref="H68" si="121">H67-G67</f>
        <v>334</v>
      </c>
      <c r="I68" s="357">
        <f t="shared" ref="I68" si="122">I67-H67</f>
        <v>-13</v>
      </c>
      <c r="J68" s="357">
        <f t="shared" ref="J68" si="123">J67-I67</f>
        <v>-2243</v>
      </c>
      <c r="K68" s="357">
        <f t="shared" ref="K68" si="124">K67-J67</f>
        <v>-454</v>
      </c>
      <c r="L68" s="357">
        <f t="shared" ref="L68" si="125">L67-K67</f>
        <v>618</v>
      </c>
    </row>
    <row r="69" spans="1:12">
      <c r="A69" s="332"/>
      <c r="B69" s="18"/>
      <c r="C69" s="18"/>
      <c r="D69" s="359">
        <f>D68/C67</f>
        <v>2.4384685505925249E-2</v>
      </c>
      <c r="E69" s="359">
        <f t="shared" ref="E69" si="126">E68/D67</f>
        <v>8.898776418242492E-4</v>
      </c>
      <c r="F69" s="359">
        <f t="shared" ref="F69" si="127">F68/E67</f>
        <v>0.1104689931095799</v>
      </c>
      <c r="G69" s="359">
        <f t="shared" ref="G69" si="128">G68/F67</f>
        <v>1.2810248198558846E-2</v>
      </c>
      <c r="H69" s="359">
        <f t="shared" ref="H69" si="129">H68/G67</f>
        <v>6.6007905138339915E-2</v>
      </c>
      <c r="I69" s="359">
        <f t="shared" ref="I69" si="130">I68/H67</f>
        <v>-2.410085279940675E-3</v>
      </c>
      <c r="J69" s="359">
        <f t="shared" ref="J69" si="131">J68/I67</f>
        <v>-0.41683701914142351</v>
      </c>
      <c r="K69" s="359">
        <f t="shared" ref="K69" si="132">K68/J67</f>
        <v>-0.14467813894200127</v>
      </c>
      <c r="L69" s="359">
        <f t="shared" ref="L69" si="133">L68/K67</f>
        <v>0.23025335320417287</v>
      </c>
    </row>
    <row r="70" spans="1:12">
      <c r="A70" s="1968" t="s">
        <v>110</v>
      </c>
      <c r="B70" s="18" t="s">
        <v>118</v>
      </c>
      <c r="C70" s="362">
        <v>1145</v>
      </c>
      <c r="D70" s="362">
        <v>1115</v>
      </c>
      <c r="E70" s="362">
        <v>1119</v>
      </c>
      <c r="F70" s="362">
        <v>1197</v>
      </c>
      <c r="G70" s="363">
        <v>1289</v>
      </c>
      <c r="H70" s="363">
        <v>1299</v>
      </c>
      <c r="I70" s="363">
        <v>1327</v>
      </c>
      <c r="J70" s="363">
        <v>981</v>
      </c>
      <c r="K70" s="363">
        <v>931</v>
      </c>
      <c r="L70" s="363">
        <v>1552</v>
      </c>
    </row>
    <row r="71" spans="1:12">
      <c r="A71" s="1968"/>
      <c r="B71" s="18" t="s">
        <v>108</v>
      </c>
      <c r="C71" s="18"/>
      <c r="D71" s="357">
        <f>D70-C70</f>
        <v>-30</v>
      </c>
      <c r="E71" s="357">
        <f t="shared" ref="E71" si="134">E70-D70</f>
        <v>4</v>
      </c>
      <c r="F71" s="357">
        <f t="shared" ref="F71" si="135">F70-E70</f>
        <v>78</v>
      </c>
      <c r="G71" s="357">
        <f t="shared" ref="G71" si="136">G70-F70</f>
        <v>92</v>
      </c>
      <c r="H71" s="357">
        <f t="shared" ref="H71" si="137">H70-G70</f>
        <v>10</v>
      </c>
      <c r="I71" s="357">
        <f t="shared" ref="I71" si="138">I70-H70</f>
        <v>28</v>
      </c>
      <c r="J71" s="357">
        <f t="shared" ref="J71" si="139">J70-I70</f>
        <v>-346</v>
      </c>
      <c r="K71" s="357">
        <f t="shared" ref="K71" si="140">K70-J70</f>
        <v>-50</v>
      </c>
      <c r="L71" s="357">
        <f t="shared" ref="L71" si="141">L70-K70</f>
        <v>621</v>
      </c>
    </row>
    <row r="72" spans="1:12">
      <c r="A72" s="332"/>
      <c r="B72" s="18"/>
      <c r="C72" s="18"/>
      <c r="D72" s="359">
        <f>D71/C70</f>
        <v>-2.6200873362445413E-2</v>
      </c>
      <c r="E72" s="359">
        <f t="shared" ref="E72" si="142">E71/D70</f>
        <v>3.5874439461883408E-3</v>
      </c>
      <c r="F72" s="359">
        <f t="shared" ref="F72" si="143">F71/E70</f>
        <v>6.9705093833780166E-2</v>
      </c>
      <c r="G72" s="359">
        <f t="shared" ref="G72" si="144">G71/F70</f>
        <v>7.685881370091896E-2</v>
      </c>
      <c r="H72" s="359">
        <f t="shared" ref="H72" si="145">H71/G70</f>
        <v>7.7579519006982156E-3</v>
      </c>
      <c r="I72" s="359">
        <f t="shared" ref="I72" si="146">I71/H70</f>
        <v>2.1555042340261739E-2</v>
      </c>
      <c r="J72" s="359">
        <f t="shared" ref="J72" si="147">J71/I70</f>
        <v>-0.26073850791258479</v>
      </c>
      <c r="K72" s="359">
        <f t="shared" ref="K72" si="148">K71/J70</f>
        <v>-5.09683995922528E-2</v>
      </c>
      <c r="L72" s="359">
        <f t="shared" ref="L72" si="149">L71/K70</f>
        <v>0.66702470461868957</v>
      </c>
    </row>
  </sheetData>
  <mergeCells count="32">
    <mergeCell ref="A70:A71"/>
    <mergeCell ref="A67:A68"/>
    <mergeCell ref="A64:A65"/>
    <mergeCell ref="A58:A59"/>
    <mergeCell ref="A56:A57"/>
    <mergeCell ref="B56:B57"/>
    <mergeCell ref="A61:A62"/>
    <mergeCell ref="A55:L55"/>
    <mergeCell ref="A45:A46"/>
    <mergeCell ref="A48:A49"/>
    <mergeCell ref="A51:A52"/>
    <mergeCell ref="A36:L36"/>
    <mergeCell ref="A37:A38"/>
    <mergeCell ref="B37:B38"/>
    <mergeCell ref="A39:A40"/>
    <mergeCell ref="A42:A43"/>
    <mergeCell ref="A9:A10"/>
    <mergeCell ref="A2:L2"/>
    <mergeCell ref="A3:A4"/>
    <mergeCell ref="B3:B4"/>
    <mergeCell ref="A5:A6"/>
    <mergeCell ref="A7:A8"/>
    <mergeCell ref="A21:A22"/>
    <mergeCell ref="A23:A24"/>
    <mergeCell ref="A25:A26"/>
    <mergeCell ref="A27:A28"/>
    <mergeCell ref="A11:A12"/>
    <mergeCell ref="A13:A14"/>
    <mergeCell ref="A16:L16"/>
    <mergeCell ref="A17:A18"/>
    <mergeCell ref="B17:B18"/>
    <mergeCell ref="A19:A20"/>
  </mergeCells>
  <hyperlinks>
    <hyperlink ref="A33" r:id="rId1" location="!/view/sk/VBD_SLOVSTAT/do2014ms/v_do2014ms_00_00_00_sk"/>
    <hyperlink ref="A1" r:id="rId2" location="!/view/sk/VBD_SK_WIN/do1003rs/v_do1003rs_00_00_00_sk"/>
  </hyperlinks>
  <pageMargins left="0.7" right="0.7" top="0.75" bottom="0.75" header="0.3" footer="0.3"/>
  <pageSetup paperSize="9" orientation="portrait" horizontalDpi="90" verticalDpi="90" r:id="rId3"/>
  <drawing r:id="rId4"/>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H78"/>
  <sheetViews>
    <sheetView showGridLines="0" topLeftCell="C1" workbookViewId="0">
      <pane xSplit="4" ySplit="2" topLeftCell="G3" activePane="bottomRight" state="frozen"/>
      <selection activeCell="C1" sqref="C1"/>
      <selection pane="topRight" activeCell="F1" sqref="F1"/>
      <selection pane="bottomLeft" activeCell="C3" sqref="C3"/>
      <selection pane="bottomRight" activeCell="E49" sqref="E49"/>
    </sheetView>
  </sheetViews>
  <sheetFormatPr defaultRowHeight="15"/>
  <cols>
    <col min="2" max="2" width="30.140625" bestFit="1" customWidth="1"/>
    <col min="3" max="3" width="11.28515625" customWidth="1"/>
    <col min="4" max="5" width="9.42578125" bestFit="1" customWidth="1"/>
    <col min="6" max="6" width="32.7109375" customWidth="1"/>
    <col min="7" max="7" width="11.7109375" customWidth="1"/>
    <col min="8" max="9" width="11.28515625" customWidth="1"/>
    <col min="10" max="10" width="10.28515625" customWidth="1"/>
    <col min="11" max="11" width="9" bestFit="1" customWidth="1"/>
    <col min="12" max="12" width="14.140625" customWidth="1"/>
    <col min="13" max="13" width="9.85546875" bestFit="1" customWidth="1"/>
    <col min="14" max="14" width="9" bestFit="1" customWidth="1"/>
    <col min="15" max="16" width="9.140625" bestFit="1" customWidth="1"/>
    <col min="17" max="17" width="18" customWidth="1"/>
    <col min="19" max="22" width="9" bestFit="1" customWidth="1"/>
    <col min="23" max="23" width="14.42578125" customWidth="1"/>
  </cols>
  <sheetData>
    <row r="1" spans="2:34">
      <c r="B1" t="s">
        <v>217</v>
      </c>
      <c r="D1" s="1"/>
      <c r="E1" s="1"/>
    </row>
    <row r="2" spans="2:34">
      <c r="B2" s="8" t="s">
        <v>214</v>
      </c>
      <c r="C2" s="8" t="s">
        <v>457</v>
      </c>
      <c r="D2" s="9" t="s">
        <v>12</v>
      </c>
      <c r="E2" s="9" t="s">
        <v>13</v>
      </c>
      <c r="F2" s="9" t="s">
        <v>207</v>
      </c>
      <c r="G2" s="9" t="s">
        <v>570</v>
      </c>
      <c r="H2" s="9" t="s">
        <v>216</v>
      </c>
      <c r="I2" s="9" t="s">
        <v>745</v>
      </c>
      <c r="J2" s="9" t="s">
        <v>561</v>
      </c>
      <c r="K2" s="9" t="s">
        <v>221</v>
      </c>
      <c r="L2" s="9" t="s">
        <v>222</v>
      </c>
      <c r="M2" s="9" t="s">
        <v>223</v>
      </c>
      <c r="N2" s="9" t="s">
        <v>224</v>
      </c>
      <c r="O2" s="9" t="s">
        <v>225</v>
      </c>
      <c r="P2" s="9" t="s">
        <v>226</v>
      </c>
      <c r="Q2" s="9" t="s">
        <v>227</v>
      </c>
      <c r="R2" s="9" t="s">
        <v>228</v>
      </c>
      <c r="S2" s="9" t="s">
        <v>229</v>
      </c>
      <c r="T2" s="9" t="s">
        <v>230</v>
      </c>
      <c r="U2" s="9" t="s">
        <v>231</v>
      </c>
      <c r="V2" s="9" t="s">
        <v>232</v>
      </c>
      <c r="W2" s="9" t="s">
        <v>234</v>
      </c>
      <c r="X2" s="9" t="s">
        <v>235</v>
      </c>
      <c r="Y2" s="9" t="s">
        <v>236</v>
      </c>
      <c r="Z2" s="9" t="s">
        <v>233</v>
      </c>
      <c r="AA2" s="9" t="s">
        <v>251</v>
      </c>
      <c r="AB2" s="9" t="s">
        <v>147</v>
      </c>
      <c r="AC2" s="9" t="s">
        <v>212</v>
      </c>
      <c r="AD2" s="9" t="s">
        <v>213</v>
      </c>
      <c r="AE2" s="9" t="s">
        <v>215</v>
      </c>
      <c r="AF2" s="9" t="s">
        <v>218</v>
      </c>
      <c r="AG2" s="9" t="s">
        <v>219</v>
      </c>
      <c r="AH2" s="9" t="s">
        <v>220</v>
      </c>
    </row>
    <row r="3" spans="2:34">
      <c r="B3" s="47" t="s">
        <v>14</v>
      </c>
      <c r="C3" s="47"/>
      <c r="D3" s="4" t="s">
        <v>15</v>
      </c>
      <c r="E3" s="4" t="s">
        <v>16</v>
      </c>
      <c r="F3" s="4" t="s">
        <v>4</v>
      </c>
      <c r="G3" s="281">
        <v>1021</v>
      </c>
      <c r="H3" s="285">
        <f>Tabuľka16[[#This Row],[Počet vozidiel (2022, 2023)]]/$I$32</f>
        <v>1050.9828255137791</v>
      </c>
      <c r="I3" s="4"/>
      <c r="J3" s="10" t="s">
        <v>253</v>
      </c>
      <c r="K3" s="4"/>
      <c r="L3" s="4"/>
      <c r="M3" s="4"/>
      <c r="N3" s="4"/>
      <c r="O3" s="4"/>
      <c r="P3" s="4"/>
      <c r="Q3" s="4"/>
      <c r="R3" s="4"/>
      <c r="S3" s="4"/>
      <c r="T3" s="4"/>
      <c r="U3" s="4"/>
      <c r="V3" s="4"/>
      <c r="W3" s="4"/>
      <c r="X3" s="4"/>
      <c r="Y3" s="4"/>
      <c r="Z3" s="4"/>
      <c r="AA3" s="4" t="s">
        <v>252</v>
      </c>
      <c r="AB3" s="4"/>
      <c r="AC3" s="4"/>
      <c r="AD3" s="4"/>
      <c r="AE3" s="48"/>
      <c r="AF3" s="48"/>
      <c r="AG3" s="4"/>
      <c r="AH3" s="49"/>
    </row>
    <row r="4" spans="2:34">
      <c r="B4" s="47" t="s">
        <v>237</v>
      </c>
      <c r="C4" s="4" t="s">
        <v>18</v>
      </c>
      <c r="D4" s="4" t="s">
        <v>238</v>
      </c>
      <c r="E4" s="4" t="s">
        <v>18</v>
      </c>
      <c r="F4" s="4" t="s">
        <v>239</v>
      </c>
      <c r="G4" s="281">
        <v>1141</v>
      </c>
      <c r="H4" s="281">
        <v>1178</v>
      </c>
      <c r="I4" s="282">
        <f>Tabuľka16[[#This Row],[Počet vozidiel (2022, 2023)]]/Tabuľka16[[#This Row],[Počet vozidiel (priemer 2017-2023)]]</f>
        <v>0.96859083191850592</v>
      </c>
      <c r="J4" s="4"/>
      <c r="K4" s="4"/>
      <c r="L4" s="4"/>
      <c r="M4" s="4"/>
      <c r="N4" s="4"/>
      <c r="O4" s="4"/>
      <c r="P4" s="4"/>
      <c r="Q4" s="4"/>
      <c r="R4" s="4"/>
      <c r="S4" s="4"/>
      <c r="T4" s="4"/>
      <c r="U4" s="4"/>
      <c r="V4" s="4"/>
      <c r="W4" s="4"/>
      <c r="X4" s="4"/>
      <c r="Y4" s="4"/>
      <c r="Z4" s="4"/>
      <c r="AA4" s="4"/>
      <c r="AB4" s="4"/>
      <c r="AC4" s="4"/>
      <c r="AD4" s="4"/>
      <c r="AE4" s="4"/>
      <c r="AF4" s="4"/>
      <c r="AG4" s="4"/>
      <c r="AH4" s="49"/>
    </row>
    <row r="5" spans="2:34">
      <c r="B5" s="47" t="s">
        <v>19</v>
      </c>
      <c r="C5" s="4" t="s">
        <v>20</v>
      </c>
      <c r="D5" s="4" t="s">
        <v>17</v>
      </c>
      <c r="E5" s="4" t="s">
        <v>20</v>
      </c>
      <c r="F5" s="4" t="s">
        <v>92</v>
      </c>
      <c r="G5" s="281">
        <v>344</v>
      </c>
      <c r="H5" s="281">
        <v>351</v>
      </c>
      <c r="I5" s="282">
        <f>Tabuľka16[[#This Row],[Počet vozidiel (2022, 2023)]]/Tabuľka16[[#This Row],[Počet vozidiel (priemer 2017-2023)]]</f>
        <v>0.98005698005698005</v>
      </c>
      <c r="J5" s="4" t="s">
        <v>562</v>
      </c>
      <c r="K5" s="51" t="s">
        <v>242</v>
      </c>
      <c r="L5" s="51"/>
      <c r="M5" s="56" t="s">
        <v>243</v>
      </c>
      <c r="N5" s="56"/>
      <c r="O5" s="51" t="s">
        <v>244</v>
      </c>
      <c r="P5" s="51"/>
      <c r="Q5" s="56" t="s">
        <v>245</v>
      </c>
      <c r="R5" s="56"/>
      <c r="S5" s="4"/>
      <c r="T5" s="4"/>
      <c r="U5" s="4" t="s">
        <v>246</v>
      </c>
      <c r="V5" s="4"/>
      <c r="W5" s="4"/>
      <c r="X5" s="4" t="s">
        <v>254</v>
      </c>
      <c r="Y5" s="4" t="s">
        <v>255</v>
      </c>
      <c r="Z5" s="4"/>
      <c r="AA5" s="4"/>
      <c r="AB5" s="4"/>
      <c r="AC5" s="4"/>
      <c r="AD5" s="4"/>
      <c r="AE5" s="4"/>
      <c r="AF5" s="4"/>
      <c r="AG5" s="4"/>
      <c r="AH5" s="49"/>
    </row>
    <row r="6" spans="2:34">
      <c r="B6" s="47" t="s">
        <v>22</v>
      </c>
      <c r="C6" s="4" t="s">
        <v>23</v>
      </c>
      <c r="D6" s="4" t="s">
        <v>17</v>
      </c>
      <c r="E6" s="4" t="s">
        <v>23</v>
      </c>
      <c r="F6" s="4" t="s">
        <v>93</v>
      </c>
      <c r="G6" s="281">
        <v>253</v>
      </c>
      <c r="H6" s="285">
        <f>Tabuľka16[[#This Row],[Počet vozidiel (2022, 2023)]]/$I$32</f>
        <v>260.42963257099518</v>
      </c>
      <c r="I6" s="4"/>
      <c r="J6" s="4" t="s">
        <v>247</v>
      </c>
      <c r="K6" s="4" t="s">
        <v>249</v>
      </c>
      <c r="L6" s="4"/>
      <c r="M6" s="4" t="s">
        <v>240</v>
      </c>
      <c r="N6" s="4"/>
      <c r="O6" s="4"/>
      <c r="P6" s="4"/>
      <c r="Q6" s="4" t="s">
        <v>241</v>
      </c>
      <c r="R6" s="4"/>
      <c r="S6" s="4"/>
      <c r="T6" s="4"/>
      <c r="U6" s="4" t="s">
        <v>241</v>
      </c>
      <c r="V6" s="4"/>
      <c r="W6" s="4"/>
      <c r="X6" s="4"/>
      <c r="Y6" s="4"/>
      <c r="Z6" s="4"/>
      <c r="AA6" s="4"/>
      <c r="AB6" s="4"/>
      <c r="AC6" s="4"/>
      <c r="AD6" s="4"/>
      <c r="AE6" s="4"/>
      <c r="AF6" s="4"/>
      <c r="AG6" s="4"/>
      <c r="AH6" s="49"/>
    </row>
    <row r="7" spans="2:34">
      <c r="B7" s="47" t="s">
        <v>25</v>
      </c>
      <c r="C7" s="4" t="s">
        <v>26</v>
      </c>
      <c r="D7" s="4" t="s">
        <v>17</v>
      </c>
      <c r="E7" s="4" t="s">
        <v>26</v>
      </c>
      <c r="F7" s="4" t="s">
        <v>94</v>
      </c>
      <c r="G7" s="281">
        <v>447</v>
      </c>
      <c r="H7" s="281">
        <v>480</v>
      </c>
      <c r="I7" s="282">
        <f>Tabuľka16[[#This Row],[Počet vozidiel (2022, 2023)]]/Tabuľka16[[#This Row],[Počet vozidiel (priemer 2017-2023)]]</f>
        <v>0.93125000000000002</v>
      </c>
      <c r="J7" s="4" t="s">
        <v>469</v>
      </c>
      <c r="K7" s="4" t="s">
        <v>470</v>
      </c>
      <c r="L7" s="4" t="s">
        <v>471</v>
      </c>
      <c r="M7" s="4" t="s">
        <v>472</v>
      </c>
      <c r="N7" s="4"/>
      <c r="O7" s="4"/>
      <c r="P7" s="4"/>
      <c r="Q7" s="4" t="s">
        <v>473</v>
      </c>
      <c r="R7" s="4"/>
      <c r="S7" s="4" t="s">
        <v>747</v>
      </c>
      <c r="T7" s="4" t="s">
        <v>474</v>
      </c>
      <c r="U7" s="4" t="s">
        <v>475</v>
      </c>
      <c r="V7" s="4"/>
      <c r="W7" s="4"/>
      <c r="X7" s="4"/>
      <c r="Y7" s="4"/>
      <c r="Z7" s="4" t="s">
        <v>476</v>
      </c>
      <c r="AA7" s="4"/>
      <c r="AB7" s="4"/>
      <c r="AC7" s="4"/>
      <c r="AD7" s="4"/>
      <c r="AE7" s="4"/>
      <c r="AF7" s="4"/>
      <c r="AG7" s="4"/>
      <c r="AH7" s="49"/>
    </row>
    <row r="8" spans="2:34">
      <c r="B8" s="47" t="s">
        <v>27</v>
      </c>
      <c r="C8" s="4" t="s">
        <v>28</v>
      </c>
      <c r="D8" s="4" t="s">
        <v>17</v>
      </c>
      <c r="E8" s="4" t="s">
        <v>28</v>
      </c>
      <c r="F8" s="4" t="s">
        <v>95</v>
      </c>
      <c r="G8" s="281">
        <v>430</v>
      </c>
      <c r="H8" s="281">
        <v>445</v>
      </c>
      <c r="I8" s="282">
        <f>Tabuľka16[[#This Row],[Počet vozidiel (2022, 2023)]]/Tabuľka16[[#This Row],[Počet vozidiel (priemer 2017-2023)]]</f>
        <v>0.9662921348314607</v>
      </c>
      <c r="J8" s="4" t="s">
        <v>563</v>
      </c>
      <c r="K8" s="4" t="s">
        <v>564</v>
      </c>
      <c r="L8" s="4"/>
      <c r="M8" s="4" t="s">
        <v>565</v>
      </c>
      <c r="N8" s="4" t="s">
        <v>566</v>
      </c>
      <c r="O8" s="4"/>
      <c r="P8" s="4"/>
      <c r="Q8" s="4"/>
      <c r="R8" s="4" t="s">
        <v>567</v>
      </c>
      <c r="S8" s="4" t="s">
        <v>568</v>
      </c>
      <c r="T8" s="4"/>
      <c r="U8" s="4" t="s">
        <v>569</v>
      </c>
      <c r="V8" s="4"/>
      <c r="W8" s="4"/>
      <c r="X8" s="4"/>
      <c r="Y8" s="4"/>
      <c r="Z8" s="4"/>
      <c r="AA8" s="4"/>
      <c r="AB8" s="4"/>
      <c r="AC8" s="4"/>
      <c r="AD8" s="4"/>
      <c r="AE8" s="4"/>
      <c r="AF8" s="4"/>
      <c r="AG8" s="4"/>
      <c r="AH8" s="49"/>
    </row>
    <row r="9" spans="2:34">
      <c r="B9" s="47" t="s">
        <v>29</v>
      </c>
      <c r="C9" s="4" t="s">
        <v>30</v>
      </c>
      <c r="D9" s="4" t="s">
        <v>17</v>
      </c>
      <c r="E9" s="4" t="s">
        <v>30</v>
      </c>
      <c r="F9" s="4" t="s">
        <v>96</v>
      </c>
      <c r="G9" s="281">
        <v>492</v>
      </c>
      <c r="H9" s="281">
        <v>497</v>
      </c>
      <c r="I9" s="282">
        <f>Tabuľka16[[#This Row],[Počet vozidiel (2022, 2023)]]/Tabuľka16[[#This Row],[Počet vozidiel (priemer 2017-2023)]]</f>
        <v>0.98993963782696182</v>
      </c>
      <c r="J9" s="4"/>
      <c r="K9" s="4"/>
      <c r="L9" s="4"/>
      <c r="M9" s="4"/>
      <c r="N9" s="4"/>
      <c r="O9" s="4"/>
      <c r="P9" s="4"/>
      <c r="Q9" s="4"/>
      <c r="R9" s="4"/>
      <c r="S9" s="4"/>
      <c r="T9" s="4"/>
      <c r="U9" s="4"/>
      <c r="V9" s="4"/>
      <c r="W9" s="4"/>
      <c r="X9" s="4"/>
      <c r="Y9" s="4"/>
      <c r="Z9" s="4"/>
      <c r="AA9" s="4"/>
      <c r="AB9" s="4"/>
      <c r="AC9" s="4"/>
      <c r="AD9" s="4"/>
      <c r="AE9" s="4"/>
      <c r="AF9" s="4"/>
      <c r="AG9" s="4"/>
      <c r="AH9" s="49"/>
    </row>
    <row r="10" spans="2:34">
      <c r="B10" s="47" t="s">
        <v>33</v>
      </c>
      <c r="C10" s="4" t="s">
        <v>34</v>
      </c>
      <c r="D10" s="4" t="s">
        <v>17</v>
      </c>
      <c r="E10" s="4" t="s">
        <v>34</v>
      </c>
      <c r="F10" s="4" t="s">
        <v>97</v>
      </c>
      <c r="G10" s="285">
        <f>'Počty vozidiel'!F73</f>
        <v>542.07303666122391</v>
      </c>
      <c r="H10" s="285">
        <f>Tabuľka16[[#This Row],[Počet vozidiel (2022, 2023)]]/$I$32</f>
        <v>557.99162752698078</v>
      </c>
      <c r="I10" s="4"/>
      <c r="J10" s="4"/>
      <c r="K10" s="4"/>
      <c r="L10" s="4"/>
      <c r="M10" s="4"/>
      <c r="N10" s="4"/>
      <c r="O10" s="4"/>
      <c r="P10" s="4"/>
      <c r="Q10" s="4"/>
      <c r="R10" s="4"/>
      <c r="S10" s="4"/>
      <c r="T10" s="4"/>
      <c r="U10" s="4"/>
      <c r="V10" s="4"/>
      <c r="W10" s="4"/>
      <c r="X10" s="4"/>
      <c r="Y10" s="4"/>
      <c r="Z10" s="4"/>
      <c r="AA10" s="4"/>
      <c r="AB10" s="4"/>
      <c r="AC10" s="4"/>
      <c r="AD10" s="4"/>
      <c r="AE10" s="4"/>
      <c r="AF10" s="4"/>
      <c r="AG10" s="4"/>
      <c r="AH10" s="49"/>
    </row>
    <row r="11" spans="2:34">
      <c r="B11" s="47" t="s">
        <v>37</v>
      </c>
      <c r="C11" s="4" t="s">
        <v>38</v>
      </c>
      <c r="D11" s="4" t="s">
        <v>17</v>
      </c>
      <c r="E11" s="4" t="s">
        <v>38</v>
      </c>
      <c r="F11" s="4" t="s">
        <v>98</v>
      </c>
      <c r="G11" s="285">
        <f>'Počty vozidiel'!F71</f>
        <v>524.17103862380827</v>
      </c>
      <c r="H11" s="285">
        <f>Tabuľka16[[#This Row],[Počet vozidiel (2022, 2023)]]/$I$32</f>
        <v>539.56391696899334</v>
      </c>
      <c r="I11" s="4"/>
      <c r="J11" s="4"/>
      <c r="K11" s="4">
        <v>4173</v>
      </c>
      <c r="L11" s="4"/>
      <c r="M11" s="4"/>
      <c r="N11" s="4"/>
      <c r="O11" s="4"/>
      <c r="P11" s="4"/>
      <c r="Q11" s="4"/>
      <c r="R11" s="4"/>
      <c r="S11" s="4"/>
      <c r="T11" s="4"/>
      <c r="U11" s="4"/>
      <c r="V11" s="4"/>
      <c r="W11" s="4"/>
      <c r="X11" s="4"/>
      <c r="Y11" s="4"/>
      <c r="Z11" s="4"/>
      <c r="AA11" s="4"/>
      <c r="AB11" s="4"/>
      <c r="AC11" s="4"/>
      <c r="AD11" s="4"/>
      <c r="AE11" s="48"/>
      <c r="AF11" s="48"/>
      <c r="AG11" s="4"/>
      <c r="AH11" s="49"/>
    </row>
    <row r="12" spans="2:34">
      <c r="B12" s="47" t="s">
        <v>40</v>
      </c>
      <c r="C12" s="4" t="s">
        <v>40</v>
      </c>
      <c r="D12" s="4" t="s">
        <v>41</v>
      </c>
      <c r="E12" s="4" t="s">
        <v>30</v>
      </c>
      <c r="F12" s="4" t="s">
        <v>99</v>
      </c>
      <c r="G12" s="281">
        <v>88</v>
      </c>
      <c r="H12" s="285">
        <f>Tabuľka16[[#This Row],[Počet vozidiel (2022, 2023)]]/$I$32</f>
        <v>90.584220024693977</v>
      </c>
      <c r="I12" s="4"/>
      <c r="J12" s="4"/>
      <c r="K12" s="4"/>
      <c r="L12" s="4"/>
      <c r="M12" s="4"/>
      <c r="N12" s="4"/>
      <c r="O12" s="4"/>
      <c r="P12" s="4"/>
      <c r="Q12" s="4"/>
      <c r="R12" s="4"/>
      <c r="S12" s="4"/>
      <c r="T12" s="4"/>
      <c r="U12" s="4"/>
      <c r="V12" s="4"/>
      <c r="W12" s="4"/>
      <c r="X12" s="4"/>
      <c r="Y12" s="4"/>
      <c r="Z12" s="4"/>
      <c r="AA12" s="4"/>
      <c r="AB12" s="4"/>
      <c r="AC12" s="4"/>
      <c r="AD12" s="4"/>
      <c r="AE12" s="4"/>
      <c r="AF12" s="4"/>
      <c r="AG12" s="4"/>
      <c r="AH12" s="49"/>
    </row>
    <row r="13" spans="2:34">
      <c r="B13" s="47" t="s">
        <v>42</v>
      </c>
      <c r="C13" s="4" t="s">
        <v>42</v>
      </c>
      <c r="D13" s="4" t="s">
        <v>41</v>
      </c>
      <c r="E13" s="4" t="s">
        <v>30</v>
      </c>
      <c r="F13" s="4" t="s">
        <v>32</v>
      </c>
      <c r="G13" s="281">
        <v>28</v>
      </c>
      <c r="H13" s="281">
        <v>30</v>
      </c>
      <c r="I13" s="282">
        <f>Tabuľka16[[#This Row],[Počet vozidiel (2022, 2023)]]/Tabuľka16[[#This Row],[Počet vozidiel (priemer 2017-2023)]]</f>
        <v>0.93333333333333335</v>
      </c>
      <c r="J13" s="4"/>
      <c r="K13" s="4"/>
      <c r="L13" s="4"/>
      <c r="M13" s="4"/>
      <c r="N13" s="4"/>
      <c r="O13" s="4"/>
      <c r="P13" s="4">
        <v>219</v>
      </c>
      <c r="Q13" s="4"/>
      <c r="R13" s="4">
        <v>134</v>
      </c>
      <c r="S13" s="4">
        <v>25</v>
      </c>
      <c r="T13" s="4"/>
      <c r="U13" s="4"/>
      <c r="V13" s="4"/>
      <c r="W13" s="4"/>
      <c r="X13" s="4"/>
      <c r="Y13" s="4"/>
      <c r="Z13" s="4"/>
      <c r="AA13" s="4"/>
      <c r="AB13" s="4"/>
      <c r="AC13" s="4"/>
      <c r="AD13" s="4"/>
      <c r="AE13" s="4"/>
      <c r="AF13" s="4"/>
      <c r="AG13" s="4"/>
      <c r="AH13" s="49"/>
    </row>
    <row r="14" spans="2:34">
      <c r="B14" s="50" t="s">
        <v>43</v>
      </c>
      <c r="C14" s="50" t="s">
        <v>43</v>
      </c>
      <c r="D14" s="51" t="s">
        <v>41</v>
      </c>
      <c r="E14" s="51" t="s">
        <v>18</v>
      </c>
      <c r="F14" s="51" t="s">
        <v>100</v>
      </c>
      <c r="G14" s="281">
        <v>908</v>
      </c>
      <c r="H14" s="285">
        <f>Tabuľka16[[#This Row],[Počet vozidiel (2022, 2023)]]/$I$32</f>
        <v>934.66445207297875</v>
      </c>
      <c r="I14" s="4"/>
      <c r="J14" s="4"/>
      <c r="K14" s="4"/>
      <c r="L14" s="4"/>
      <c r="M14" s="4"/>
      <c r="N14" s="4"/>
      <c r="O14" s="4"/>
      <c r="P14" s="4"/>
      <c r="Q14" s="4"/>
      <c r="R14" s="4"/>
      <c r="S14" s="4">
        <v>32</v>
      </c>
      <c r="T14" s="4"/>
      <c r="U14" s="4"/>
      <c r="V14" s="4"/>
      <c r="W14" s="4"/>
      <c r="X14" s="4"/>
      <c r="Y14" s="4"/>
      <c r="Z14" s="4"/>
      <c r="AA14" s="4"/>
      <c r="AB14" s="4"/>
      <c r="AC14" s="4"/>
      <c r="AD14" s="4"/>
      <c r="AE14" s="48"/>
      <c r="AF14" s="48"/>
      <c r="AG14" s="4"/>
      <c r="AH14" s="49"/>
    </row>
    <row r="15" spans="2:34">
      <c r="B15" s="47" t="s">
        <v>44</v>
      </c>
      <c r="C15" s="47" t="s">
        <v>44</v>
      </c>
      <c r="D15" s="4" t="s">
        <v>41</v>
      </c>
      <c r="E15" s="4" t="s">
        <v>38</v>
      </c>
      <c r="F15" s="4" t="s">
        <v>101</v>
      </c>
      <c r="G15" s="281">
        <v>320</v>
      </c>
      <c r="H15" s="285">
        <f>Tabuľka16[[#This Row],[Počet vozidiel (2022, 2023)]]/$I$32</f>
        <v>329.39716372615993</v>
      </c>
      <c r="I15" s="4"/>
      <c r="J15" s="4"/>
      <c r="K15" s="4"/>
      <c r="L15" s="4"/>
      <c r="M15" s="4"/>
      <c r="N15" s="4"/>
      <c r="O15" s="4"/>
      <c r="P15" s="4"/>
      <c r="Q15" s="4"/>
      <c r="R15" s="4"/>
      <c r="S15" s="4">
        <v>70</v>
      </c>
      <c r="T15" s="4"/>
      <c r="U15" s="4"/>
      <c r="V15" s="4"/>
      <c r="W15" s="4"/>
      <c r="X15" s="4"/>
      <c r="Y15" s="4"/>
      <c r="Z15" s="4"/>
      <c r="AA15" s="4"/>
      <c r="AB15" s="4"/>
      <c r="AC15" s="4"/>
      <c r="AD15" s="4"/>
      <c r="AE15" s="48"/>
      <c r="AF15" s="48"/>
      <c r="AG15" s="4"/>
      <c r="AH15" s="49"/>
    </row>
    <row r="16" spans="2:34">
      <c r="B16" s="47" t="s">
        <v>45</v>
      </c>
      <c r="C16" s="47" t="s">
        <v>45</v>
      </c>
      <c r="D16" s="4" t="s">
        <v>41</v>
      </c>
      <c r="E16" s="4" t="s">
        <v>28</v>
      </c>
      <c r="F16" s="4" t="s">
        <v>46</v>
      </c>
      <c r="G16" s="281">
        <v>80</v>
      </c>
      <c r="H16" s="285">
        <f>Tabuľka16[[#This Row],[Počet vozidiel (2022, 2023)]]/$I$32</f>
        <v>82.349290931539983</v>
      </c>
      <c r="I16" s="4"/>
      <c r="J16" s="4"/>
      <c r="K16" s="4"/>
      <c r="L16" s="4"/>
      <c r="M16" s="4"/>
      <c r="N16" s="4"/>
      <c r="O16" s="4"/>
      <c r="P16" s="4"/>
      <c r="Q16" s="4"/>
      <c r="R16" s="4"/>
      <c r="S16" s="4">
        <v>35</v>
      </c>
      <c r="T16" s="4"/>
      <c r="U16" s="4"/>
      <c r="V16" s="4"/>
      <c r="W16" s="4"/>
      <c r="X16" s="4"/>
      <c r="Y16" s="4"/>
      <c r="Z16" s="4"/>
      <c r="AA16" s="4"/>
      <c r="AB16" s="4"/>
      <c r="AC16" s="4"/>
      <c r="AD16" s="4"/>
      <c r="AE16" s="48"/>
      <c r="AF16" s="48"/>
      <c r="AG16" s="4"/>
      <c r="AH16" s="49"/>
    </row>
    <row r="17" spans="2:34">
      <c r="B17" s="47" t="s">
        <v>47</v>
      </c>
      <c r="C17" s="47" t="s">
        <v>47</v>
      </c>
      <c r="D17" s="4" t="s">
        <v>41</v>
      </c>
      <c r="E17" s="4" t="s">
        <v>34</v>
      </c>
      <c r="F17" s="4" t="s">
        <v>102</v>
      </c>
      <c r="G17" s="281">
        <v>105</v>
      </c>
      <c r="H17" s="285">
        <f>Tabuľka16[[#This Row],[Počet vozidiel (2022, 2023)]]/$I$32</f>
        <v>108.08344434764622</v>
      </c>
      <c r="I17" s="4"/>
      <c r="J17" s="4"/>
      <c r="K17" s="4"/>
      <c r="L17" s="4"/>
      <c r="M17" s="4"/>
      <c r="N17" s="4"/>
      <c r="O17" s="4"/>
      <c r="P17" s="4"/>
      <c r="Q17" s="4"/>
      <c r="R17" s="4"/>
      <c r="S17" s="4">
        <v>9</v>
      </c>
      <c r="T17" s="4">
        <f>'Dáta technológie'!T18*2015</f>
        <v>2015</v>
      </c>
      <c r="U17" s="4"/>
      <c r="V17" s="4"/>
      <c r="W17" s="4"/>
      <c r="X17" s="4"/>
      <c r="Y17" s="4"/>
      <c r="Z17" s="4"/>
      <c r="AA17" s="4"/>
      <c r="AB17" s="4"/>
      <c r="AC17" s="4"/>
      <c r="AD17" s="4"/>
      <c r="AE17" s="48"/>
      <c r="AF17" s="48"/>
      <c r="AG17" s="4"/>
      <c r="AH17" s="49"/>
    </row>
    <row r="18" spans="2:34">
      <c r="B18" s="47" t="s">
        <v>48</v>
      </c>
      <c r="C18" s="47" t="s">
        <v>48</v>
      </c>
      <c r="D18" s="4" t="s">
        <v>41</v>
      </c>
      <c r="E18" s="4" t="s">
        <v>34</v>
      </c>
      <c r="F18" s="4" t="s">
        <v>35</v>
      </c>
      <c r="G18" s="281">
        <v>27</v>
      </c>
      <c r="H18" s="285">
        <f>Tabuľka16[[#This Row],[Počet vozidiel (2022, 2023)]]/$I$32</f>
        <v>27.79288568939474</v>
      </c>
      <c r="I18" s="4"/>
      <c r="J18" s="4"/>
      <c r="K18" s="4"/>
      <c r="L18" s="4"/>
      <c r="M18" s="4"/>
      <c r="N18" s="4"/>
      <c r="O18" s="4"/>
      <c r="P18" s="4"/>
      <c r="Q18" s="4"/>
      <c r="R18" s="4"/>
      <c r="S18" s="4">
        <v>134</v>
      </c>
      <c r="T18" s="4">
        <f>Tabuľka16[[#This Row],[Kamery]]/R13</f>
        <v>1</v>
      </c>
      <c r="U18" s="4"/>
      <c r="V18" s="4"/>
      <c r="W18" s="4"/>
      <c r="X18" s="4"/>
      <c r="Y18" s="4"/>
      <c r="Z18" s="4"/>
      <c r="AA18" s="4"/>
      <c r="AB18" s="4"/>
      <c r="AC18" s="4"/>
      <c r="AD18" s="4"/>
      <c r="AE18" s="4"/>
      <c r="AF18" s="4"/>
      <c r="AG18" s="4"/>
      <c r="AH18" s="49"/>
    </row>
    <row r="19" spans="2:34">
      <c r="B19" s="47" t="s">
        <v>49</v>
      </c>
      <c r="C19" s="47" t="s">
        <v>49</v>
      </c>
      <c r="D19" s="4" t="s">
        <v>41</v>
      </c>
      <c r="E19" s="4" t="s">
        <v>23</v>
      </c>
      <c r="F19" s="4" t="s">
        <v>46</v>
      </c>
      <c r="G19" s="281">
        <v>43</v>
      </c>
      <c r="H19" s="285">
        <f>Tabuľka16[[#This Row],[Počet vozidiel (2022, 2023)]]/$I$32</f>
        <v>44.262743875702739</v>
      </c>
      <c r="I19" s="4"/>
      <c r="J19" s="4"/>
      <c r="K19" s="4"/>
      <c r="L19" s="4"/>
      <c r="M19" s="4"/>
      <c r="N19" s="4"/>
      <c r="O19" s="4"/>
      <c r="P19" s="4"/>
      <c r="Q19" s="4"/>
      <c r="R19" s="4"/>
      <c r="S19" s="4"/>
      <c r="T19" s="4"/>
      <c r="U19" s="4"/>
      <c r="V19" s="4"/>
      <c r="W19" s="4"/>
      <c r="X19" s="4"/>
      <c r="Y19" s="4"/>
      <c r="Z19" s="4"/>
      <c r="AA19" s="4"/>
      <c r="AB19" s="4"/>
      <c r="AC19" s="4"/>
      <c r="AD19" s="4"/>
      <c r="AE19" s="48"/>
      <c r="AF19" s="48"/>
      <c r="AG19" s="4"/>
      <c r="AH19" s="49"/>
    </row>
    <row r="20" spans="2:34">
      <c r="B20" s="47" t="s">
        <v>50</v>
      </c>
      <c r="C20" s="47" t="s">
        <v>50</v>
      </c>
      <c r="D20" s="4" t="s">
        <v>41</v>
      </c>
      <c r="E20" s="4" t="s">
        <v>23</v>
      </c>
      <c r="F20" s="4" t="s">
        <v>51</v>
      </c>
      <c r="G20" s="281">
        <v>23</v>
      </c>
      <c r="H20" s="285">
        <f>Tabuľka16[[#This Row],[Počet vozidiel (2022, 2023)]]/$I$32</f>
        <v>23.675421142817743</v>
      </c>
      <c r="I20" s="4"/>
      <c r="J20" s="4"/>
      <c r="K20" s="4" t="s">
        <v>846</v>
      </c>
      <c r="L20" s="4" t="s">
        <v>846</v>
      </c>
      <c r="M20" s="4" t="s">
        <v>846</v>
      </c>
      <c r="N20" s="4" t="s">
        <v>846</v>
      </c>
      <c r="O20" s="4"/>
      <c r="P20" s="4"/>
      <c r="Q20" s="4" t="s">
        <v>846</v>
      </c>
      <c r="R20" s="4" t="s">
        <v>846</v>
      </c>
      <c r="S20" s="4" t="s">
        <v>847</v>
      </c>
      <c r="T20" s="4" t="s">
        <v>846</v>
      </c>
      <c r="U20" s="4" t="s">
        <v>846</v>
      </c>
      <c r="V20" s="4"/>
      <c r="W20" s="4"/>
      <c r="X20" s="4"/>
      <c r="Y20" s="4"/>
      <c r="Z20" s="4"/>
      <c r="AA20" s="4"/>
      <c r="AB20" s="4"/>
      <c r="AC20" s="4"/>
      <c r="AD20" s="4"/>
      <c r="AE20" s="4"/>
      <c r="AF20" s="4"/>
      <c r="AG20" s="4"/>
      <c r="AH20" s="49"/>
    </row>
    <row r="21" spans="2:34">
      <c r="B21" s="47" t="s">
        <v>52</v>
      </c>
      <c r="C21" s="47" t="s">
        <v>52</v>
      </c>
      <c r="D21" s="4" t="s">
        <v>41</v>
      </c>
      <c r="E21" s="4" t="s">
        <v>23</v>
      </c>
      <c r="F21" s="4" t="s">
        <v>458</v>
      </c>
      <c r="G21" s="281">
        <v>32</v>
      </c>
      <c r="H21" s="281">
        <v>32</v>
      </c>
      <c r="I21" s="282">
        <f>Tabuľka16[[#This Row],[Počet vozidiel (2022, 2023)]]/Tabuľka16[[#This Row],[Počet vozidiel (priemer 2017-2023)]]</f>
        <v>1</v>
      </c>
      <c r="J21" s="4" t="s">
        <v>248</v>
      </c>
      <c r="K21" s="4" t="s">
        <v>249</v>
      </c>
      <c r="L21" s="4"/>
      <c r="M21" s="4" t="s">
        <v>250</v>
      </c>
      <c r="N21" s="4"/>
      <c r="O21" s="4"/>
      <c r="P21" s="4"/>
      <c r="Q21" s="4" t="s">
        <v>241</v>
      </c>
      <c r="R21" s="4"/>
      <c r="S21" s="4"/>
      <c r="T21" s="4" t="s">
        <v>241</v>
      </c>
      <c r="U21" s="4" t="s">
        <v>241</v>
      </c>
      <c r="V21" s="4"/>
      <c r="W21" s="4"/>
      <c r="X21" s="4"/>
      <c r="Y21" s="4"/>
      <c r="Z21" s="4"/>
      <c r="AA21" s="4"/>
      <c r="AB21" s="4"/>
      <c r="AC21" s="4"/>
      <c r="AD21" s="4"/>
      <c r="AE21" s="4"/>
      <c r="AF21" s="4"/>
      <c r="AG21" s="4"/>
      <c r="AH21" s="49"/>
    </row>
    <row r="22" spans="2:34" s="23" customFormat="1" ht="11.25">
      <c r="B22" s="47" t="s">
        <v>53</v>
      </c>
      <c r="C22" s="47" t="s">
        <v>53</v>
      </c>
      <c r="D22" s="4" t="s">
        <v>41</v>
      </c>
      <c r="E22" s="4" t="s">
        <v>20</v>
      </c>
      <c r="F22" s="4" t="s">
        <v>21</v>
      </c>
      <c r="G22" s="281">
        <v>35</v>
      </c>
      <c r="H22" s="281">
        <v>34</v>
      </c>
      <c r="I22" s="282">
        <f>Tabuľka16[[#This Row],[Počet vozidiel (2022, 2023)]]/Tabuľka16[[#This Row],[Počet vozidiel (priemer 2017-2023)]]</f>
        <v>1.0294117647058822</v>
      </c>
      <c r="J22" s="4" t="s">
        <v>464</v>
      </c>
      <c r="K22" s="4" t="s">
        <v>461</v>
      </c>
      <c r="L22" s="4" t="s">
        <v>462</v>
      </c>
      <c r="M22" s="4" t="s">
        <v>463</v>
      </c>
      <c r="N22" s="4" t="s">
        <v>459</v>
      </c>
      <c r="O22" s="4" t="s">
        <v>460</v>
      </c>
      <c r="P22" s="53"/>
      <c r="Q22" s="4" t="s">
        <v>465</v>
      </c>
      <c r="R22" s="53"/>
      <c r="S22" s="4" t="s">
        <v>467</v>
      </c>
      <c r="T22" s="53" t="s">
        <v>466</v>
      </c>
      <c r="U22" s="4" t="s">
        <v>468</v>
      </c>
      <c r="V22" s="4"/>
      <c r="W22" s="4"/>
      <c r="X22" s="4"/>
      <c r="Y22" s="4"/>
      <c r="Z22" s="4"/>
      <c r="AA22" s="4"/>
      <c r="AB22" s="4"/>
      <c r="AC22" s="4"/>
      <c r="AD22" s="4"/>
      <c r="AE22" s="4"/>
      <c r="AF22" s="4"/>
      <c r="AG22" s="4"/>
      <c r="AH22" s="49"/>
    </row>
    <row r="23" spans="2:34">
      <c r="B23" s="47" t="s">
        <v>54</v>
      </c>
      <c r="C23" s="47" t="s">
        <v>54</v>
      </c>
      <c r="D23" s="4" t="s">
        <v>41</v>
      </c>
      <c r="E23" s="4" t="s">
        <v>26</v>
      </c>
      <c r="F23" s="4" t="s">
        <v>103</v>
      </c>
      <c r="G23" s="281">
        <v>85</v>
      </c>
      <c r="H23" s="281">
        <v>87</v>
      </c>
      <c r="I23" s="282">
        <f>Tabuľka16[[#This Row],[Počet vozidiel (2022, 2023)]]/Tabuľka16[[#This Row],[Počet vozidiel (priemer 2017-2023)]]</f>
        <v>0.97701149425287359</v>
      </c>
      <c r="J23" s="4" t="s">
        <v>509</v>
      </c>
      <c r="K23" s="4" t="s">
        <v>512</v>
      </c>
      <c r="L23" s="4"/>
      <c r="M23" s="4" t="s">
        <v>517</v>
      </c>
      <c r="N23" s="4"/>
      <c r="O23" s="4"/>
      <c r="P23" s="4"/>
      <c r="Q23" s="4" t="s">
        <v>521</v>
      </c>
      <c r="R23" s="4"/>
      <c r="S23" s="4" t="s">
        <v>522</v>
      </c>
      <c r="T23" s="4"/>
      <c r="U23" s="4"/>
      <c r="V23" s="4"/>
      <c r="W23" s="4"/>
      <c r="X23" s="4"/>
      <c r="Y23" s="4"/>
      <c r="Z23" s="4"/>
      <c r="AA23" s="4"/>
      <c r="AB23" s="4"/>
      <c r="AC23" s="4"/>
      <c r="AD23" s="4"/>
      <c r="AE23" s="48"/>
      <c r="AF23" s="48"/>
      <c r="AG23" s="4"/>
      <c r="AH23" s="49"/>
    </row>
    <row r="24" spans="2:34">
      <c r="B24" s="47" t="s">
        <v>55</v>
      </c>
      <c r="C24" s="47" t="s">
        <v>55</v>
      </c>
      <c r="D24" s="4" t="s">
        <v>41</v>
      </c>
      <c r="E24" s="4" t="s">
        <v>26</v>
      </c>
      <c r="F24" s="4" t="s">
        <v>56</v>
      </c>
      <c r="G24" s="281">
        <v>35</v>
      </c>
      <c r="H24" s="285">
        <f>Tabuľka16[[#This Row],[Počet vozidiel (2022, 2023)]]/$I$32</f>
        <v>36.027814782548738</v>
      </c>
      <c r="I24" s="4"/>
      <c r="J24" s="4" t="s">
        <v>848</v>
      </c>
      <c r="K24" s="4" t="s">
        <v>849</v>
      </c>
      <c r="L24" s="4"/>
      <c r="M24" s="4" t="s">
        <v>850</v>
      </c>
      <c r="N24" s="4"/>
      <c r="O24" s="4"/>
      <c r="P24" s="4"/>
      <c r="Q24" s="4" t="s">
        <v>851</v>
      </c>
      <c r="R24" s="4"/>
      <c r="S24" s="4" t="s">
        <v>852</v>
      </c>
      <c r="T24" s="4" t="s">
        <v>851</v>
      </c>
      <c r="U24" s="4" t="s">
        <v>853</v>
      </c>
      <c r="V24" s="4"/>
      <c r="W24" s="4"/>
      <c r="X24" s="4"/>
      <c r="Y24" s="4"/>
      <c r="Z24" s="4"/>
      <c r="AA24" s="4"/>
      <c r="AB24" s="4"/>
      <c r="AC24" s="4"/>
      <c r="AD24" s="4"/>
      <c r="AE24" s="48"/>
      <c r="AF24" s="48"/>
      <c r="AG24" s="4"/>
      <c r="AH24" s="49"/>
    </row>
    <row r="25" spans="2:34">
      <c r="B25" s="47" t="s">
        <v>57</v>
      </c>
      <c r="C25" s="47" t="s">
        <v>57</v>
      </c>
      <c r="D25" s="4" t="s">
        <v>41</v>
      </c>
      <c r="E25" s="4" t="s">
        <v>30</v>
      </c>
      <c r="F25" s="4" t="s">
        <v>31</v>
      </c>
      <c r="G25" s="281">
        <v>6</v>
      </c>
      <c r="H25" s="285">
        <f>Tabuľka16[[#This Row],[Počet vozidiel (2022, 2023)]]/$I$32</f>
        <v>6.1761968198654982</v>
      </c>
      <c r="I25" s="4"/>
      <c r="J25" s="4"/>
      <c r="K25" s="4"/>
      <c r="L25" s="4"/>
      <c r="M25" s="4"/>
      <c r="N25" s="4"/>
      <c r="O25" s="4"/>
      <c r="P25" s="4"/>
      <c r="Q25" s="4"/>
      <c r="R25" s="4"/>
      <c r="S25" s="4"/>
      <c r="T25" s="4"/>
      <c r="U25" s="4"/>
      <c r="V25" s="4"/>
      <c r="W25" s="4"/>
      <c r="X25" s="4"/>
      <c r="Y25" s="4"/>
      <c r="Z25" s="4"/>
      <c r="AA25" s="4"/>
      <c r="AB25" s="4"/>
      <c r="AC25" s="4"/>
      <c r="AD25" s="4"/>
      <c r="AE25" s="48"/>
      <c r="AF25" s="48"/>
      <c r="AG25" s="4"/>
      <c r="AH25" s="49"/>
    </row>
    <row r="26" spans="2:34">
      <c r="B26" s="47" t="s">
        <v>58</v>
      </c>
      <c r="C26" s="47" t="s">
        <v>58</v>
      </c>
      <c r="D26" s="4" t="s">
        <v>41</v>
      </c>
      <c r="E26" s="4" t="s">
        <v>38</v>
      </c>
      <c r="F26" s="4" t="s">
        <v>39</v>
      </c>
      <c r="G26" s="281">
        <v>19</v>
      </c>
      <c r="H26" s="281">
        <v>21</v>
      </c>
      <c r="I26" s="282">
        <f>Tabuľka16[[#This Row],[Počet vozidiel (2022, 2023)]]/Tabuľka16[[#This Row],[Počet vozidiel (priemer 2017-2023)]]</f>
        <v>0.90476190476190477</v>
      </c>
      <c r="J26" s="4"/>
      <c r="K26" s="4"/>
      <c r="L26" s="4"/>
      <c r="M26" s="4"/>
      <c r="N26" s="4"/>
      <c r="O26" s="4"/>
      <c r="P26" s="4"/>
      <c r="Q26" s="4"/>
      <c r="R26" s="4"/>
      <c r="S26" s="4"/>
      <c r="T26" s="4"/>
      <c r="U26" s="4"/>
      <c r="V26" s="4"/>
      <c r="W26" s="4"/>
      <c r="X26" s="4"/>
      <c r="Y26" s="4"/>
      <c r="Z26" s="4"/>
      <c r="AA26" s="4"/>
      <c r="AB26" s="4"/>
      <c r="AC26" s="4"/>
      <c r="AD26" s="4"/>
      <c r="AE26" s="48"/>
      <c r="AF26" s="48"/>
      <c r="AG26" s="4"/>
      <c r="AH26" s="49"/>
    </row>
    <row r="27" spans="2:34">
      <c r="B27" s="47" t="s">
        <v>59</v>
      </c>
      <c r="C27" s="47" t="s">
        <v>59</v>
      </c>
      <c r="D27" s="4" t="s">
        <v>41</v>
      </c>
      <c r="E27" s="4" t="s">
        <v>34</v>
      </c>
      <c r="F27" s="4" t="s">
        <v>36</v>
      </c>
      <c r="G27" s="281">
        <v>9</v>
      </c>
      <c r="H27" s="281">
        <v>9</v>
      </c>
      <c r="I27" s="282">
        <f>Tabuľka16[[#This Row],[Počet vozidiel (2022, 2023)]]/Tabuľka16[[#This Row],[Počet vozidiel (priemer 2017-2023)]]</f>
        <v>1</v>
      </c>
      <c r="J27" s="4" t="s">
        <v>485</v>
      </c>
      <c r="K27" s="4" t="s">
        <v>486</v>
      </c>
      <c r="L27" s="4"/>
      <c r="M27" s="4" t="s">
        <v>487</v>
      </c>
      <c r="N27" s="4"/>
      <c r="O27" s="4"/>
      <c r="P27" s="4"/>
      <c r="Q27" s="4" t="s">
        <v>490</v>
      </c>
      <c r="R27" s="4"/>
      <c r="S27" s="4" t="s">
        <v>492</v>
      </c>
      <c r="T27" s="4" t="s">
        <v>491</v>
      </c>
      <c r="U27" s="4" t="s">
        <v>489</v>
      </c>
      <c r="V27" s="4"/>
      <c r="W27" s="4"/>
      <c r="X27" s="4"/>
      <c r="Y27" s="4"/>
      <c r="Z27" s="4" t="s">
        <v>488</v>
      </c>
      <c r="AA27" s="4"/>
      <c r="AB27" s="4"/>
      <c r="AC27" s="4"/>
      <c r="AD27" s="4"/>
      <c r="AE27" s="48"/>
      <c r="AF27" s="48"/>
      <c r="AG27" s="4"/>
      <c r="AH27" s="49"/>
    </row>
    <row r="28" spans="2:34">
      <c r="B28" s="47" t="s">
        <v>60</v>
      </c>
      <c r="C28" s="47" t="s">
        <v>60</v>
      </c>
      <c r="D28" s="4" t="s">
        <v>41</v>
      </c>
      <c r="E28" s="4" t="s">
        <v>26</v>
      </c>
      <c r="F28" s="4" t="s">
        <v>61</v>
      </c>
      <c r="G28" s="281">
        <v>14</v>
      </c>
      <c r="H28" s="285">
        <f>Tabuľka16[[#This Row],[Počet vozidiel (2022, 2023)]]/$I$32</f>
        <v>14.411125913019497</v>
      </c>
      <c r="I28" s="4"/>
      <c r="J28" s="4"/>
      <c r="K28" s="4"/>
      <c r="L28" s="4"/>
      <c r="M28" s="4"/>
      <c r="N28" s="4"/>
      <c r="O28" s="4"/>
      <c r="P28" s="4"/>
      <c r="Q28" s="4"/>
      <c r="R28" s="4"/>
      <c r="S28" s="4"/>
      <c r="T28" s="4"/>
      <c r="U28" s="4"/>
      <c r="V28" s="4"/>
      <c r="W28" s="4"/>
      <c r="X28" s="4"/>
      <c r="Y28" s="4"/>
      <c r="Z28" s="4"/>
      <c r="AA28" s="4"/>
      <c r="AB28" s="4"/>
      <c r="AC28" s="4"/>
      <c r="AD28" s="4"/>
      <c r="AE28" s="48"/>
      <c r="AF28" s="48"/>
      <c r="AG28" s="4"/>
      <c r="AH28" s="49"/>
    </row>
    <row r="29" spans="2:34">
      <c r="B29" s="47"/>
      <c r="C29" s="47" t="s">
        <v>726</v>
      </c>
      <c r="D29" s="4"/>
      <c r="E29" s="4"/>
      <c r="F29" s="4"/>
      <c r="G29" s="286"/>
      <c r="H29" s="285">
        <f>Tabuľka16[[#This Row],[Počet vozidiel (2022, 2023)]]/$I$32</f>
        <v>0</v>
      </c>
      <c r="I29" s="4"/>
      <c r="J29" s="4"/>
      <c r="K29" s="4"/>
      <c r="L29" s="4"/>
      <c r="M29" s="4"/>
      <c r="N29" s="4"/>
      <c r="O29" s="4"/>
      <c r="P29" s="4"/>
      <c r="Q29" s="4"/>
      <c r="R29" s="4"/>
      <c r="S29" s="4"/>
      <c r="T29" s="4"/>
      <c r="U29" s="4"/>
      <c r="V29" s="4"/>
      <c r="W29" s="4"/>
      <c r="X29" s="4"/>
      <c r="Y29" s="4"/>
      <c r="Z29" s="4"/>
      <c r="AA29" s="4"/>
      <c r="AB29" s="4"/>
      <c r="AC29" s="4"/>
      <c r="AD29" s="4"/>
      <c r="AE29" s="48"/>
      <c r="AF29" s="48"/>
      <c r="AG29" s="4"/>
      <c r="AH29" s="49"/>
    </row>
    <row r="30" spans="2:34">
      <c r="B30" s="52" t="s">
        <v>91</v>
      </c>
      <c r="C30" s="47" t="s">
        <v>727</v>
      </c>
      <c r="D30" s="53"/>
      <c r="E30" s="53"/>
      <c r="F30" s="53"/>
      <c r="G30" s="287"/>
      <c r="H30" s="285">
        <f>Tabuľka16[[#This Row],[Počet vozidiel (2022, 2023)]]/$I$32</f>
        <v>0</v>
      </c>
      <c r="I30" s="53"/>
      <c r="J30" s="53"/>
      <c r="K30" s="53"/>
      <c r="L30" s="53"/>
      <c r="M30" s="53"/>
      <c r="N30" s="53"/>
      <c r="O30" s="53"/>
      <c r="P30" s="53"/>
      <c r="Q30" s="53"/>
      <c r="R30" s="53"/>
      <c r="S30" s="53"/>
      <c r="T30" s="53"/>
      <c r="U30" s="53"/>
      <c r="V30" s="53"/>
      <c r="W30" s="53"/>
      <c r="X30" s="53"/>
      <c r="Y30" s="53"/>
      <c r="Z30" s="53"/>
      <c r="AA30" s="53"/>
      <c r="AB30" s="53"/>
      <c r="AC30" s="53"/>
      <c r="AD30" s="53"/>
      <c r="AE30" s="54"/>
      <c r="AF30" s="54"/>
      <c r="AG30" s="53"/>
      <c r="AH30" s="55"/>
    </row>
    <row r="31" spans="2:34">
      <c r="B31" s="52" t="s">
        <v>16</v>
      </c>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8"/>
      <c r="AF31" s="48"/>
      <c r="AG31" s="4"/>
      <c r="AH31" s="4"/>
    </row>
    <row r="32" spans="2:34">
      <c r="B32" s="47"/>
      <c r="C32" s="47" t="s">
        <v>746</v>
      </c>
      <c r="D32" s="4"/>
      <c r="E32" s="4"/>
      <c r="F32" s="4"/>
      <c r="G32" s="4"/>
      <c r="H32" s="53"/>
      <c r="I32" s="283">
        <f>SUBTOTAL(101,I27,I26,I23,I23,I21,I22,I13,I9,I8,I7,I5,I4)</f>
        <v>0.97147163132839809</v>
      </c>
      <c r="J32" s="53"/>
      <c r="K32" s="53"/>
      <c r="L32" s="53"/>
      <c r="M32" s="53"/>
      <c r="N32" s="53"/>
      <c r="O32" s="53"/>
      <c r="P32" s="53"/>
      <c r="Q32" s="53"/>
      <c r="R32" s="53"/>
      <c r="S32" s="53"/>
      <c r="T32" s="53"/>
      <c r="U32" s="53"/>
      <c r="V32" s="53"/>
      <c r="W32" s="53"/>
      <c r="X32" s="53"/>
      <c r="Y32" s="53"/>
      <c r="Z32" s="53"/>
      <c r="AA32" s="4"/>
      <c r="AB32" s="4"/>
      <c r="AC32" s="4"/>
      <c r="AD32" s="4"/>
      <c r="AE32" s="48"/>
      <c r="AF32" s="48"/>
      <c r="AG32" s="4"/>
      <c r="AH32" s="49"/>
    </row>
    <row r="33" spans="2:34">
      <c r="B33" s="52"/>
      <c r="C33" s="52" t="s">
        <v>203</v>
      </c>
      <c r="D33" s="53"/>
      <c r="E33" s="53"/>
      <c r="F33" s="53"/>
      <c r="G33" s="284">
        <f>SUM(G3:G30)</f>
        <v>7051.2440752850325</v>
      </c>
      <c r="H33" s="284">
        <f>SUM(H3:H30)</f>
        <v>7270.3927619071164</v>
      </c>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5"/>
    </row>
    <row r="35" spans="2:34">
      <c r="C35" s="198"/>
      <c r="D35" s="22" t="s">
        <v>748</v>
      </c>
      <c r="E35" s="22"/>
      <c r="F35" s="22"/>
    </row>
    <row r="36" spans="2:34">
      <c r="C36" s="58"/>
      <c r="D36" s="22" t="s">
        <v>749</v>
      </c>
      <c r="E36" s="22"/>
      <c r="F36" s="22"/>
    </row>
    <row r="37" spans="2:34">
      <c r="C37" s="288"/>
      <c r="D37" s="22" t="s">
        <v>750</v>
      </c>
      <c r="E37" s="22"/>
      <c r="F37" s="22"/>
    </row>
    <row r="38" spans="2:34">
      <c r="C38" s="22"/>
      <c r="D38" s="22"/>
      <c r="E38" s="22"/>
      <c r="F38" s="22"/>
    </row>
    <row r="39" spans="2:34">
      <c r="C39" s="57" t="s">
        <v>944</v>
      </c>
    </row>
    <row r="40" spans="2:34" ht="15.75" thickBot="1">
      <c r="F40" s="425" t="s">
        <v>936</v>
      </c>
      <c r="G40" s="23"/>
      <c r="H40" s="23"/>
      <c r="I40" s="23"/>
      <c r="J40" s="23"/>
      <c r="K40" s="23"/>
      <c r="L40" s="23"/>
      <c r="M40" s="23"/>
      <c r="N40" s="23"/>
      <c r="O40" s="23"/>
      <c r="P40" s="23"/>
      <c r="Q40" s="23"/>
      <c r="R40" s="23"/>
      <c r="S40" s="23"/>
      <c r="T40" s="23"/>
      <c r="U40" s="23"/>
      <c r="V40" s="23"/>
      <c r="W40" s="23"/>
    </row>
    <row r="41" spans="2:34">
      <c r="F41" s="426" t="s">
        <v>937</v>
      </c>
      <c r="G41" s="427"/>
      <c r="H41" s="1976" t="s">
        <v>265</v>
      </c>
      <c r="I41" s="1977"/>
      <c r="J41" s="1977"/>
      <c r="K41" s="1977"/>
      <c r="L41" s="1978"/>
      <c r="M41" s="1976" t="s">
        <v>264</v>
      </c>
      <c r="N41" s="1977"/>
      <c r="O41" s="1977"/>
      <c r="P41" s="1977"/>
      <c r="Q41" s="1978"/>
      <c r="R41" s="1976" t="s">
        <v>4</v>
      </c>
      <c r="S41" s="1977"/>
      <c r="T41" s="1977"/>
      <c r="U41" s="1977"/>
      <c r="V41" s="1978"/>
      <c r="W41" s="23"/>
    </row>
    <row r="42" spans="2:34">
      <c r="F42" s="464" t="s">
        <v>938</v>
      </c>
      <c r="G42" s="465"/>
      <c r="H42" s="1979">
        <f>'Počty vozidiel'!$F$84</f>
        <v>4173.2440752850325</v>
      </c>
      <c r="I42" s="1980"/>
      <c r="J42" s="1980"/>
      <c r="K42" s="1980"/>
      <c r="L42" s="1981"/>
      <c r="M42" s="1982">
        <f>'Počty vozidiel'!$F$82</f>
        <v>2015</v>
      </c>
      <c r="N42" s="1980"/>
      <c r="O42" s="1980"/>
      <c r="P42" s="1980"/>
      <c r="Q42" s="1981"/>
      <c r="R42" s="1982">
        <f>'Počty vozidiel'!$F$83</f>
        <v>1021</v>
      </c>
      <c r="S42" s="1980"/>
      <c r="T42" s="1980"/>
      <c r="U42" s="1980"/>
      <c r="V42" s="1981"/>
      <c r="W42" s="23"/>
    </row>
    <row r="43" spans="2:34">
      <c r="F43" s="428"/>
      <c r="G43" s="429" t="s">
        <v>907</v>
      </c>
      <c r="H43" s="430" t="s">
        <v>904</v>
      </c>
      <c r="I43" s="430" t="s">
        <v>939</v>
      </c>
      <c r="J43" s="433" t="s">
        <v>940</v>
      </c>
      <c r="K43" s="433" t="s">
        <v>941</v>
      </c>
      <c r="L43" s="431" t="s">
        <v>912</v>
      </c>
      <c r="M43" s="430" t="s">
        <v>904</v>
      </c>
      <c r="N43" s="430" t="s">
        <v>939</v>
      </c>
      <c r="O43" s="433" t="s">
        <v>940</v>
      </c>
      <c r="P43" s="433" t="s">
        <v>941</v>
      </c>
      <c r="Q43" s="431" t="s">
        <v>912</v>
      </c>
      <c r="R43" s="432" t="s">
        <v>904</v>
      </c>
      <c r="S43" s="430" t="s">
        <v>939</v>
      </c>
      <c r="T43" s="433" t="s">
        <v>940</v>
      </c>
      <c r="U43" s="433" t="s">
        <v>941</v>
      </c>
      <c r="V43" s="431" t="s">
        <v>912</v>
      </c>
      <c r="W43" s="23"/>
    </row>
    <row r="44" spans="2:34">
      <c r="E44" s="876">
        <v>0</v>
      </c>
      <c r="F44" s="874" t="s">
        <v>571</v>
      </c>
      <c r="G44" s="435">
        <v>1000</v>
      </c>
      <c r="H44" s="436"/>
      <c r="I44" s="437">
        <v>1474</v>
      </c>
      <c r="J44" s="466">
        <v>1474</v>
      </c>
      <c r="K44" s="467">
        <f>I44/J44</f>
        <v>1</v>
      </c>
      <c r="L44" s="468">
        <f>I44*G44</f>
        <v>1474000</v>
      </c>
      <c r="M44" s="436" t="s">
        <v>911</v>
      </c>
      <c r="N44" s="437">
        <v>219</v>
      </c>
      <c r="O44" s="466">
        <v>219</v>
      </c>
      <c r="P44" s="467">
        <f>N44/O44</f>
        <v>1</v>
      </c>
      <c r="Q44" s="468">
        <f>N44*G44</f>
        <v>219000</v>
      </c>
      <c r="R44" s="436" t="s">
        <v>909</v>
      </c>
      <c r="S44" s="437">
        <v>0</v>
      </c>
      <c r="T44" s="466">
        <v>1021</v>
      </c>
      <c r="U44" s="469">
        <f>S44/T44</f>
        <v>0</v>
      </c>
      <c r="V44" s="438">
        <f>S44*G44</f>
        <v>0</v>
      </c>
      <c r="W44" s="23"/>
    </row>
    <row r="45" spans="2:34">
      <c r="E45" s="876">
        <v>0</v>
      </c>
      <c r="F45" s="439" t="s">
        <v>572</v>
      </c>
      <c r="G45" s="440">
        <v>1000</v>
      </c>
      <c r="H45" s="441"/>
      <c r="I45" s="442">
        <v>1224</v>
      </c>
      <c r="J45" s="470">
        <v>1474</v>
      </c>
      <c r="K45" s="471">
        <f>I45/J45</f>
        <v>0.83039348710990502</v>
      </c>
      <c r="L45" s="472">
        <f t="shared" ref="L45:L49" si="0">I45*G45</f>
        <v>1224000</v>
      </c>
      <c r="M45" s="441"/>
      <c r="N45" s="442">
        <v>219</v>
      </c>
      <c r="O45" s="470">
        <v>219</v>
      </c>
      <c r="P45" s="471">
        <f>N45/O45</f>
        <v>1</v>
      </c>
      <c r="Q45" s="472">
        <f t="shared" ref="Q45:Q49" si="1">N45*G45</f>
        <v>219000</v>
      </c>
      <c r="R45" s="444"/>
      <c r="S45" s="442">
        <v>0</v>
      </c>
      <c r="T45" s="470">
        <v>1021</v>
      </c>
      <c r="U45" s="469">
        <f t="shared" ref="U45:U49" si="2">S45/T45</f>
        <v>0</v>
      </c>
      <c r="V45" s="443">
        <f t="shared" ref="V45:V49" si="3">S45*G45</f>
        <v>0</v>
      </c>
      <c r="W45" s="23"/>
    </row>
    <row r="46" spans="2:34">
      <c r="E46" s="876" t="s">
        <v>1321</v>
      </c>
      <c r="F46" s="439" t="s">
        <v>573</v>
      </c>
      <c r="G46" s="440">
        <v>100</v>
      </c>
      <c r="H46" s="441"/>
      <c r="I46" s="442">
        <v>3096</v>
      </c>
      <c r="J46" s="470">
        <v>344</v>
      </c>
      <c r="K46" s="471">
        <f t="shared" ref="K46:K49" si="4">I46/J46</f>
        <v>9</v>
      </c>
      <c r="L46" s="472">
        <f t="shared" si="0"/>
        <v>309600</v>
      </c>
      <c r="M46" s="441"/>
      <c r="N46" s="442">
        <v>0</v>
      </c>
      <c r="O46" s="470">
        <v>219</v>
      </c>
      <c r="P46" s="471">
        <f t="shared" ref="P46:P49" si="5">N46/O46</f>
        <v>0</v>
      </c>
      <c r="Q46" s="472">
        <f t="shared" si="1"/>
        <v>0</v>
      </c>
      <c r="R46" s="441" t="s">
        <v>909</v>
      </c>
      <c r="S46" s="442">
        <v>0</v>
      </c>
      <c r="T46" s="470">
        <v>1021</v>
      </c>
      <c r="U46" s="469">
        <f t="shared" si="2"/>
        <v>0</v>
      </c>
      <c r="V46" s="443">
        <f t="shared" si="3"/>
        <v>0</v>
      </c>
      <c r="W46" s="23"/>
    </row>
    <row r="47" spans="2:34">
      <c r="E47" s="877">
        <v>0.2</v>
      </c>
      <c r="F47" s="439" t="s">
        <v>926</v>
      </c>
      <c r="G47" s="440">
        <v>1000</v>
      </c>
      <c r="H47" s="441" t="s">
        <v>265</v>
      </c>
      <c r="I47" s="442">
        <v>823</v>
      </c>
      <c r="J47" s="470">
        <v>1044</v>
      </c>
      <c r="K47" s="471">
        <f t="shared" si="4"/>
        <v>0.78831417624521072</v>
      </c>
      <c r="L47" s="472">
        <f t="shared" si="0"/>
        <v>823000</v>
      </c>
      <c r="M47" s="441" t="s">
        <v>265</v>
      </c>
      <c r="N47" s="442">
        <v>341</v>
      </c>
      <c r="O47" s="470">
        <v>219</v>
      </c>
      <c r="P47" s="471">
        <f t="shared" si="5"/>
        <v>1.5570776255707763</v>
      </c>
      <c r="Q47" s="472">
        <f t="shared" si="1"/>
        <v>341000</v>
      </c>
      <c r="R47" s="441" t="s">
        <v>909</v>
      </c>
      <c r="S47" s="442">
        <v>0</v>
      </c>
      <c r="T47" s="470">
        <v>1021</v>
      </c>
      <c r="U47" s="469">
        <f t="shared" si="2"/>
        <v>0</v>
      </c>
      <c r="V47" s="443">
        <f t="shared" si="3"/>
        <v>0</v>
      </c>
      <c r="W47" s="23"/>
    </row>
    <row r="48" spans="2:34">
      <c r="E48" s="876">
        <v>0</v>
      </c>
      <c r="F48" s="439" t="s">
        <v>575</v>
      </c>
      <c r="G48" s="440">
        <v>1000</v>
      </c>
      <c r="H48" s="441"/>
      <c r="I48" s="442">
        <v>447</v>
      </c>
      <c r="J48" s="470">
        <v>447</v>
      </c>
      <c r="K48" s="471">
        <f t="shared" si="4"/>
        <v>1</v>
      </c>
      <c r="L48" s="472">
        <f t="shared" si="0"/>
        <v>447000</v>
      </c>
      <c r="M48" s="875">
        <v>0</v>
      </c>
      <c r="N48" s="442">
        <v>171</v>
      </c>
      <c r="O48" s="470">
        <v>134</v>
      </c>
      <c r="P48" s="471">
        <f t="shared" si="5"/>
        <v>1.2761194029850746</v>
      </c>
      <c r="Q48" s="472">
        <f t="shared" si="1"/>
        <v>171000</v>
      </c>
      <c r="R48" s="441" t="s">
        <v>909</v>
      </c>
      <c r="S48" s="442">
        <v>0</v>
      </c>
      <c r="T48" s="470">
        <v>1021</v>
      </c>
      <c r="U48" s="469">
        <f t="shared" si="2"/>
        <v>0</v>
      </c>
      <c r="V48" s="443">
        <f t="shared" si="3"/>
        <v>0</v>
      </c>
      <c r="W48" s="23"/>
    </row>
    <row r="49" spans="3:23" ht="15.75" thickBot="1">
      <c r="F49" s="447" t="s">
        <v>231</v>
      </c>
      <c r="G49" s="445">
        <v>1000</v>
      </c>
      <c r="H49" s="441"/>
      <c r="I49" s="442">
        <v>1474</v>
      </c>
      <c r="J49" s="470">
        <v>1474</v>
      </c>
      <c r="K49" s="471">
        <f t="shared" si="4"/>
        <v>1</v>
      </c>
      <c r="L49" s="472">
        <f t="shared" si="0"/>
        <v>1474000</v>
      </c>
      <c r="M49" s="875">
        <v>0</v>
      </c>
      <c r="N49" s="442">
        <v>134</v>
      </c>
      <c r="O49" s="470">
        <v>134</v>
      </c>
      <c r="P49" s="471">
        <f t="shared" si="5"/>
        <v>1</v>
      </c>
      <c r="Q49" s="472">
        <f t="shared" si="1"/>
        <v>134000</v>
      </c>
      <c r="R49" s="446"/>
      <c r="S49" s="442">
        <v>0</v>
      </c>
      <c r="T49" s="470">
        <v>1021</v>
      </c>
      <c r="U49" s="469">
        <f t="shared" si="2"/>
        <v>0</v>
      </c>
      <c r="V49" s="443">
        <f t="shared" si="3"/>
        <v>0</v>
      </c>
      <c r="W49" s="23"/>
    </row>
    <row r="50" spans="3:23" ht="15.75" thickBot="1">
      <c r="C50" s="301"/>
      <c r="D50" s="22" t="s">
        <v>943</v>
      </c>
      <c r="F50" s="473" t="s">
        <v>203</v>
      </c>
      <c r="G50" s="448"/>
      <c r="H50" s="449"/>
      <c r="I50" s="450"/>
      <c r="J50" s="457"/>
      <c r="K50" s="457"/>
      <c r="L50" s="451">
        <f>SUM(L44:L48)</f>
        <v>4277600</v>
      </c>
      <c r="M50" s="449"/>
      <c r="N50" s="450"/>
      <c r="O50" s="457"/>
      <c r="P50" s="457"/>
      <c r="Q50" s="451">
        <f>SUM(Q44:Q48)</f>
        <v>950000</v>
      </c>
      <c r="R50" s="452"/>
      <c r="S50" s="453"/>
      <c r="T50" s="453"/>
      <c r="U50" s="453"/>
      <c r="V50" s="451">
        <f>SUM(V44:V48)</f>
        <v>0</v>
      </c>
      <c r="W50" s="474">
        <f>L50+Q50+V50</f>
        <v>5227600</v>
      </c>
    </row>
    <row r="51" spans="3:23">
      <c r="C51" s="338"/>
      <c r="D51" s="22" t="s">
        <v>1184</v>
      </c>
      <c r="F51" s="454"/>
      <c r="G51" s="455"/>
      <c r="H51" s="455"/>
      <c r="I51" s="456"/>
      <c r="J51" s="456"/>
      <c r="K51" s="456"/>
      <c r="L51" s="455"/>
      <c r="M51" s="455"/>
      <c r="N51" s="456"/>
      <c r="O51" s="456"/>
      <c r="P51" s="456"/>
      <c r="Q51" s="455"/>
      <c r="R51" s="23"/>
      <c r="S51" s="456"/>
      <c r="T51" s="456"/>
      <c r="U51" s="456"/>
      <c r="V51" s="455"/>
      <c r="W51" s="23"/>
    </row>
    <row r="52" spans="3:23">
      <c r="F52" s="454"/>
      <c r="G52" s="455"/>
      <c r="H52" s="455"/>
      <c r="I52" s="456"/>
      <c r="J52" s="456"/>
      <c r="K52" s="456"/>
      <c r="L52" s="455"/>
      <c r="M52" s="455"/>
      <c r="N52" s="456"/>
      <c r="O52" s="456"/>
      <c r="P52" s="456"/>
      <c r="Q52" s="455"/>
      <c r="R52" s="23"/>
      <c r="S52" s="456"/>
      <c r="T52" s="456"/>
      <c r="U52" s="456"/>
      <c r="V52" s="455"/>
      <c r="W52" s="23"/>
    </row>
    <row r="53" spans="3:23" ht="15.75" thickBot="1">
      <c r="F53" s="425" t="s">
        <v>995</v>
      </c>
      <c r="G53" s="23"/>
      <c r="H53" s="23"/>
      <c r="I53" s="23"/>
      <c r="J53" s="23"/>
      <c r="K53" s="23"/>
      <c r="L53" s="23"/>
      <c r="M53" s="23"/>
      <c r="N53" s="23"/>
      <c r="O53" s="23"/>
      <c r="P53" s="23"/>
      <c r="Q53" s="23"/>
      <c r="R53" s="23"/>
      <c r="S53" s="23"/>
      <c r="T53" s="23"/>
      <c r="U53" s="23"/>
      <c r="V53" s="23"/>
      <c r="W53" s="23"/>
    </row>
    <row r="54" spans="3:23">
      <c r="F54" s="426" t="s">
        <v>937</v>
      </c>
      <c r="G54" s="427"/>
      <c r="H54" s="1976" t="s">
        <v>265</v>
      </c>
      <c r="I54" s="1977"/>
      <c r="J54" s="1977"/>
      <c r="K54" s="1977"/>
      <c r="L54" s="1978"/>
      <c r="M54" s="1976" t="s">
        <v>264</v>
      </c>
      <c r="N54" s="1977"/>
      <c r="O54" s="1977"/>
      <c r="P54" s="1977"/>
      <c r="Q54" s="1978"/>
      <c r="R54" s="1976" t="s">
        <v>4</v>
      </c>
      <c r="S54" s="1977"/>
      <c r="T54" s="1977"/>
      <c r="U54" s="1977"/>
      <c r="V54" s="1978"/>
      <c r="W54" s="23"/>
    </row>
    <row r="55" spans="3:23">
      <c r="F55" s="464" t="s">
        <v>938</v>
      </c>
      <c r="G55" s="465"/>
      <c r="H55" s="1979">
        <f>'Počty vozidiel'!$F$84</f>
        <v>4173.2440752850325</v>
      </c>
      <c r="I55" s="1980"/>
      <c r="J55" s="1980"/>
      <c r="K55" s="1980"/>
      <c r="L55" s="1981"/>
      <c r="M55" s="1982">
        <f>'Počty vozidiel'!$F$82</f>
        <v>2015</v>
      </c>
      <c r="N55" s="1980"/>
      <c r="O55" s="1980"/>
      <c r="P55" s="1980"/>
      <c r="Q55" s="1981"/>
      <c r="R55" s="1982">
        <f>'Počty vozidiel'!$F$83</f>
        <v>1021</v>
      </c>
      <c r="S55" s="1980"/>
      <c r="T55" s="1980"/>
      <c r="U55" s="1980"/>
      <c r="V55" s="1981"/>
      <c r="W55" s="23"/>
    </row>
    <row r="56" spans="3:23">
      <c r="F56" s="428"/>
      <c r="G56" s="429" t="s">
        <v>907</v>
      </c>
      <c r="H56" s="430" t="s">
        <v>904</v>
      </c>
      <c r="I56" s="430" t="s">
        <v>942</v>
      </c>
      <c r="J56" s="433" t="s">
        <v>940</v>
      </c>
      <c r="K56" s="433" t="s">
        <v>941</v>
      </c>
      <c r="L56" s="431" t="s">
        <v>912</v>
      </c>
      <c r="M56" s="430" t="s">
        <v>904</v>
      </c>
      <c r="N56" s="430" t="s">
        <v>942</v>
      </c>
      <c r="O56" s="433" t="s">
        <v>940</v>
      </c>
      <c r="P56" s="433" t="s">
        <v>941</v>
      </c>
      <c r="Q56" s="431" t="s">
        <v>912</v>
      </c>
      <c r="R56" s="432" t="s">
        <v>904</v>
      </c>
      <c r="S56" s="430" t="s">
        <v>939</v>
      </c>
      <c r="T56" s="433" t="s">
        <v>940</v>
      </c>
      <c r="U56" s="433" t="s">
        <v>941</v>
      </c>
      <c r="V56" s="431" t="s">
        <v>912</v>
      </c>
      <c r="W56" s="23"/>
    </row>
    <row r="57" spans="3:23">
      <c r="F57" s="434" t="s">
        <v>571</v>
      </c>
      <c r="G57" s="435">
        <v>1000</v>
      </c>
      <c r="H57" s="436"/>
      <c r="I57" s="475">
        <f>J57*K57</f>
        <v>4173</v>
      </c>
      <c r="J57" s="466">
        <v>4173</v>
      </c>
      <c r="K57" s="476">
        <v>1</v>
      </c>
      <c r="L57" s="438">
        <f>I57*G57</f>
        <v>4173000</v>
      </c>
      <c r="M57" s="436" t="s">
        <v>911</v>
      </c>
      <c r="N57" s="475">
        <f>O57*P57</f>
        <v>2015</v>
      </c>
      <c r="O57" s="466">
        <v>2015</v>
      </c>
      <c r="P57" s="467">
        <f>P44</f>
        <v>1</v>
      </c>
      <c r="Q57" s="468">
        <f>N57*G57</f>
        <v>2015000</v>
      </c>
      <c r="R57" s="436" t="s">
        <v>909</v>
      </c>
      <c r="S57" s="437">
        <v>0</v>
      </c>
      <c r="T57" s="466">
        <v>1021</v>
      </c>
      <c r="U57" s="469">
        <f>S57/T57</f>
        <v>0</v>
      </c>
      <c r="V57" s="438">
        <f>S57*G57</f>
        <v>0</v>
      </c>
      <c r="W57" s="23"/>
    </row>
    <row r="58" spans="3:23">
      <c r="F58" s="439" t="s">
        <v>572</v>
      </c>
      <c r="G58" s="440">
        <v>1000</v>
      </c>
      <c r="H58" s="441"/>
      <c r="I58" s="477">
        <f>J58*K58</f>
        <v>4173</v>
      </c>
      <c r="J58" s="470">
        <v>4173</v>
      </c>
      <c r="K58" s="478">
        <v>1</v>
      </c>
      <c r="L58" s="443">
        <f t="shared" ref="L58:L62" si="6">I58*G58</f>
        <v>4173000</v>
      </c>
      <c r="M58" s="441"/>
      <c r="N58" s="477">
        <f>O58*P58</f>
        <v>2015</v>
      </c>
      <c r="O58" s="470">
        <v>2015</v>
      </c>
      <c r="P58" s="471">
        <f>P45</f>
        <v>1</v>
      </c>
      <c r="Q58" s="472">
        <f t="shared" ref="Q58:Q62" si="7">N58*G58</f>
        <v>2015000</v>
      </c>
      <c r="R58" s="444"/>
      <c r="S58" s="442">
        <v>0</v>
      </c>
      <c r="T58" s="470">
        <v>1021</v>
      </c>
      <c r="U58" s="469">
        <f t="shared" ref="U58:U62" si="8">S58/T58</f>
        <v>0</v>
      </c>
      <c r="V58" s="443">
        <f t="shared" ref="V58:V62" si="9">S58*G58</f>
        <v>0</v>
      </c>
      <c r="W58" s="23"/>
    </row>
    <row r="59" spans="3:23">
      <c r="F59" s="439" t="s">
        <v>573</v>
      </c>
      <c r="G59" s="440">
        <v>100</v>
      </c>
      <c r="H59" s="441"/>
      <c r="I59" s="477">
        <f t="shared" ref="I59:I62" si="10">J59*K59</f>
        <v>37557</v>
      </c>
      <c r="J59" s="470">
        <v>4173</v>
      </c>
      <c r="K59" s="478">
        <v>9</v>
      </c>
      <c r="L59" s="443">
        <f t="shared" si="6"/>
        <v>3755700</v>
      </c>
      <c r="M59" s="441"/>
      <c r="N59" s="477">
        <f t="shared" ref="N59:N62" si="11">O59*P59</f>
        <v>18135</v>
      </c>
      <c r="O59" s="470">
        <v>2015</v>
      </c>
      <c r="P59" s="478">
        <v>9</v>
      </c>
      <c r="Q59" s="472">
        <f t="shared" si="7"/>
        <v>1813500</v>
      </c>
      <c r="R59" s="441" t="s">
        <v>909</v>
      </c>
      <c r="S59" s="442">
        <v>0</v>
      </c>
      <c r="T59" s="470">
        <v>1021</v>
      </c>
      <c r="U59" s="469">
        <f t="shared" si="8"/>
        <v>0</v>
      </c>
      <c r="V59" s="443">
        <f t="shared" si="9"/>
        <v>0</v>
      </c>
      <c r="W59" s="23"/>
    </row>
    <row r="60" spans="3:23">
      <c r="F60" s="439" t="s">
        <v>926</v>
      </c>
      <c r="G60" s="440">
        <v>1000</v>
      </c>
      <c r="H60" s="441" t="s">
        <v>265</v>
      </c>
      <c r="I60" s="477">
        <f t="shared" si="10"/>
        <v>4173</v>
      </c>
      <c r="J60" s="470">
        <v>4173</v>
      </c>
      <c r="K60" s="478">
        <v>1</v>
      </c>
      <c r="L60" s="443">
        <f t="shared" si="6"/>
        <v>4173000</v>
      </c>
      <c r="M60" s="441" t="s">
        <v>265</v>
      </c>
      <c r="N60" s="477">
        <f t="shared" si="11"/>
        <v>3137.5114155251144</v>
      </c>
      <c r="O60" s="470">
        <v>2015</v>
      </c>
      <c r="P60" s="471">
        <f t="shared" ref="P60:P62" si="12">P47</f>
        <v>1.5570776255707763</v>
      </c>
      <c r="Q60" s="472">
        <f t="shared" si="7"/>
        <v>3137511.4155251146</v>
      </c>
      <c r="R60" s="441" t="s">
        <v>909</v>
      </c>
      <c r="S60" s="442">
        <v>0</v>
      </c>
      <c r="T60" s="470">
        <v>1021</v>
      </c>
      <c r="U60" s="469">
        <f t="shared" si="8"/>
        <v>0</v>
      </c>
      <c r="V60" s="443">
        <f t="shared" si="9"/>
        <v>0</v>
      </c>
      <c r="W60" s="23"/>
    </row>
    <row r="61" spans="3:23">
      <c r="F61" s="439" t="s">
        <v>575</v>
      </c>
      <c r="G61" s="440">
        <v>1000</v>
      </c>
      <c r="H61" s="441"/>
      <c r="I61" s="477">
        <f t="shared" si="10"/>
        <v>4173</v>
      </c>
      <c r="J61" s="470">
        <v>4173</v>
      </c>
      <c r="K61" s="478">
        <v>1</v>
      </c>
      <c r="L61" s="443">
        <f t="shared" si="6"/>
        <v>4173000</v>
      </c>
      <c r="M61" s="441"/>
      <c r="N61" s="477">
        <f t="shared" si="11"/>
        <v>2571.3805970149256</v>
      </c>
      <c r="O61" s="470">
        <v>2015</v>
      </c>
      <c r="P61" s="471">
        <f t="shared" si="12"/>
        <v>1.2761194029850746</v>
      </c>
      <c r="Q61" s="472">
        <f t="shared" si="7"/>
        <v>2571380.5970149254</v>
      </c>
      <c r="R61" s="441" t="s">
        <v>909</v>
      </c>
      <c r="S61" s="442">
        <v>0</v>
      </c>
      <c r="T61" s="470">
        <v>1021</v>
      </c>
      <c r="U61" s="469">
        <f t="shared" si="8"/>
        <v>0</v>
      </c>
      <c r="V61" s="443">
        <f t="shared" si="9"/>
        <v>0</v>
      </c>
      <c r="W61" s="23"/>
    </row>
    <row r="62" spans="3:23" ht="15.75" thickBot="1">
      <c r="F62" s="447" t="s">
        <v>231</v>
      </c>
      <c r="G62" s="445">
        <v>1000</v>
      </c>
      <c r="H62" s="441"/>
      <c r="I62" s="477">
        <f t="shared" si="10"/>
        <v>4173</v>
      </c>
      <c r="J62" s="470">
        <v>4173</v>
      </c>
      <c r="K62" s="478">
        <v>1</v>
      </c>
      <c r="L62" s="443">
        <f t="shared" si="6"/>
        <v>4173000</v>
      </c>
      <c r="M62" s="441"/>
      <c r="N62" s="477">
        <f t="shared" si="11"/>
        <v>2015</v>
      </c>
      <c r="O62" s="470">
        <v>2015</v>
      </c>
      <c r="P62" s="471">
        <f t="shared" si="12"/>
        <v>1</v>
      </c>
      <c r="Q62" s="472">
        <f t="shared" si="7"/>
        <v>2015000</v>
      </c>
      <c r="R62" s="446"/>
      <c r="S62" s="442">
        <v>0</v>
      </c>
      <c r="T62" s="470">
        <v>1021</v>
      </c>
      <c r="U62" s="469">
        <f t="shared" si="8"/>
        <v>0</v>
      </c>
      <c r="V62" s="443">
        <f t="shared" si="9"/>
        <v>0</v>
      </c>
      <c r="W62" s="23"/>
    </row>
    <row r="63" spans="3:23" ht="15.75" thickBot="1">
      <c r="F63" s="479" t="s">
        <v>203</v>
      </c>
      <c r="G63" s="480"/>
      <c r="H63" s="481"/>
      <c r="I63" s="482"/>
      <c r="J63" s="483"/>
      <c r="K63" s="483"/>
      <c r="L63" s="438">
        <f>SUM(L57:L61)</f>
        <v>20447700</v>
      </c>
      <c r="M63" s="481"/>
      <c r="N63" s="482"/>
      <c r="O63" s="483"/>
      <c r="P63" s="483"/>
      <c r="Q63" s="438">
        <f>SUM(Q57:Q61)</f>
        <v>11552392.012540039</v>
      </c>
      <c r="R63" s="484"/>
      <c r="S63" s="485"/>
      <c r="T63" s="485"/>
      <c r="U63" s="485"/>
      <c r="V63" s="438">
        <f>SUM(V57:V61)</f>
        <v>0</v>
      </c>
      <c r="W63" s="474">
        <f>L63+Q63+V63</f>
        <v>32000092.012540039</v>
      </c>
    </row>
    <row r="64" spans="3:23" ht="15.75" thickBot="1">
      <c r="F64" s="486" t="s">
        <v>1040</v>
      </c>
      <c r="G64" s="487"/>
      <c r="H64" s="487"/>
      <c r="I64" s="488"/>
      <c r="J64" s="488"/>
      <c r="K64" s="488"/>
      <c r="L64" s="474">
        <f>L63-L50</f>
        <v>16170100</v>
      </c>
      <c r="M64" s="487"/>
      <c r="N64" s="488"/>
      <c r="O64" s="488"/>
      <c r="P64" s="488"/>
      <c r="Q64" s="474">
        <f>Q63-Q50</f>
        <v>10602392.012540039</v>
      </c>
      <c r="R64" s="489"/>
      <c r="S64" s="490"/>
      <c r="T64" s="490"/>
      <c r="U64" s="490"/>
      <c r="V64" s="474">
        <f>V63-V50</f>
        <v>0</v>
      </c>
      <c r="W64" s="474">
        <f>W63-W50</f>
        <v>26772492.012540039</v>
      </c>
    </row>
    <row r="66" spans="6:23">
      <c r="M66" t="s">
        <v>994</v>
      </c>
    </row>
    <row r="67" spans="6:23" ht="15.75" thickBot="1">
      <c r="F67" s="425" t="s">
        <v>1039</v>
      </c>
      <c r="G67" s="23"/>
      <c r="H67" s="23"/>
      <c r="I67" s="23"/>
      <c r="J67" s="23"/>
      <c r="K67" s="23"/>
      <c r="L67" s="23"/>
      <c r="M67" s="23"/>
      <c r="N67" s="23"/>
      <c r="O67" s="23"/>
      <c r="P67" s="23"/>
      <c r="Q67" s="23"/>
      <c r="R67" s="23"/>
      <c r="S67" s="23"/>
      <c r="T67" s="23"/>
      <c r="U67" s="23"/>
      <c r="V67" s="23"/>
      <c r="W67" s="23"/>
    </row>
    <row r="68" spans="6:23">
      <c r="F68" s="426" t="s">
        <v>937</v>
      </c>
      <c r="G68" s="427"/>
      <c r="H68" s="1976" t="s">
        <v>265</v>
      </c>
      <c r="I68" s="1977"/>
      <c r="J68" s="1977"/>
      <c r="K68" s="1977"/>
      <c r="L68" s="1978"/>
      <c r="M68" s="1976" t="s">
        <v>264</v>
      </c>
      <c r="N68" s="1977"/>
      <c r="O68" s="1977"/>
      <c r="P68" s="1977"/>
      <c r="Q68" s="1978"/>
      <c r="R68" s="1976" t="s">
        <v>4</v>
      </c>
      <c r="S68" s="1977"/>
      <c r="T68" s="1977"/>
      <c r="U68" s="1977"/>
      <c r="V68" s="1978"/>
      <c r="W68" s="23"/>
    </row>
    <row r="69" spans="6:23">
      <c r="F69" s="464" t="s">
        <v>938</v>
      </c>
      <c r="G69" s="465"/>
      <c r="H69" s="1979">
        <f>'Počty vozidiel'!$F$84</f>
        <v>4173.2440752850325</v>
      </c>
      <c r="I69" s="1980"/>
      <c r="J69" s="1980"/>
      <c r="K69" s="1980"/>
      <c r="L69" s="1981"/>
      <c r="M69" s="1982">
        <f>'Počty vozidiel'!$F$82</f>
        <v>2015</v>
      </c>
      <c r="N69" s="1980"/>
      <c r="O69" s="1980"/>
      <c r="P69" s="1980"/>
      <c r="Q69" s="1981"/>
      <c r="R69" s="1982">
        <f>'Počty vozidiel'!$F$83</f>
        <v>1021</v>
      </c>
      <c r="S69" s="1980"/>
      <c r="T69" s="1980"/>
      <c r="U69" s="1980"/>
      <c r="V69" s="1981"/>
      <c r="W69" s="23"/>
    </row>
    <row r="70" spans="6:23">
      <c r="F70" s="428"/>
      <c r="G70" s="429" t="s">
        <v>907</v>
      </c>
      <c r="H70" s="430" t="s">
        <v>904</v>
      </c>
      <c r="I70" s="430" t="s">
        <v>1042</v>
      </c>
      <c r="J70" s="433" t="s">
        <v>940</v>
      </c>
      <c r="K70" s="433" t="s">
        <v>941</v>
      </c>
      <c r="L70" s="431" t="s">
        <v>912</v>
      </c>
      <c r="M70" s="430" t="s">
        <v>904</v>
      </c>
      <c r="N70" s="430" t="s">
        <v>1042</v>
      </c>
      <c r="O70" s="433" t="s">
        <v>940</v>
      </c>
      <c r="P70" s="433" t="s">
        <v>941</v>
      </c>
      <c r="Q70" s="431" t="s">
        <v>912</v>
      </c>
      <c r="R70" s="432" t="s">
        <v>904</v>
      </c>
      <c r="S70" s="430" t="s">
        <v>939</v>
      </c>
      <c r="T70" s="433" t="s">
        <v>940</v>
      </c>
      <c r="U70" s="433" t="s">
        <v>941</v>
      </c>
      <c r="V70" s="431" t="s">
        <v>912</v>
      </c>
      <c r="W70" s="23"/>
    </row>
    <row r="71" spans="6:23">
      <c r="F71" s="434" t="s">
        <v>571</v>
      </c>
      <c r="G71" s="435">
        <v>1000</v>
      </c>
      <c r="H71" s="436"/>
      <c r="I71" s="475">
        <f>J71*K71</f>
        <v>4173</v>
      </c>
      <c r="J71" s="466">
        <v>4173</v>
      </c>
      <c r="K71" s="531">
        <f>K44</f>
        <v>1</v>
      </c>
      <c r="L71" s="438">
        <f>I71*G71</f>
        <v>4173000</v>
      </c>
      <c r="M71" s="436" t="s">
        <v>911</v>
      </c>
      <c r="N71" s="475">
        <f>O71*P71</f>
        <v>2015</v>
      </c>
      <c r="O71" s="466">
        <v>2015</v>
      </c>
      <c r="P71" s="531">
        <f>P44</f>
        <v>1</v>
      </c>
      <c r="Q71" s="468">
        <f>N71*G71</f>
        <v>2015000</v>
      </c>
      <c r="R71" s="436" t="s">
        <v>909</v>
      </c>
      <c r="S71" s="437">
        <v>0</v>
      </c>
      <c r="T71" s="466">
        <v>1021</v>
      </c>
      <c r="U71" s="469">
        <f>S71/T71</f>
        <v>0</v>
      </c>
      <c r="V71" s="438">
        <f>S71*G71</f>
        <v>0</v>
      </c>
      <c r="W71" s="23"/>
    </row>
    <row r="72" spans="6:23">
      <c r="F72" s="439" t="s">
        <v>572</v>
      </c>
      <c r="G72" s="440">
        <v>1000</v>
      </c>
      <c r="H72" s="441"/>
      <c r="I72" s="477">
        <f>J72*K72</f>
        <v>3465.2320217096335</v>
      </c>
      <c r="J72" s="470">
        <v>4173</v>
      </c>
      <c r="K72" s="532">
        <f t="shared" ref="K72:K76" si="13">K45</f>
        <v>0.83039348710990502</v>
      </c>
      <c r="L72" s="443">
        <f t="shared" ref="L72:L76" si="14">I72*G72</f>
        <v>3465232.0217096335</v>
      </c>
      <c r="M72" s="441"/>
      <c r="N72" s="477">
        <f>O72*P72</f>
        <v>2015</v>
      </c>
      <c r="O72" s="470">
        <v>2015</v>
      </c>
      <c r="P72" s="532">
        <f t="shared" ref="P72:P76" si="15">P45</f>
        <v>1</v>
      </c>
      <c r="Q72" s="472">
        <f t="shared" ref="Q72:Q76" si="16">N72*G72</f>
        <v>2015000</v>
      </c>
      <c r="R72" s="444"/>
      <c r="S72" s="442">
        <v>0</v>
      </c>
      <c r="T72" s="470">
        <v>1021</v>
      </c>
      <c r="U72" s="469">
        <f t="shared" ref="U72:U76" si="17">S72/T72</f>
        <v>0</v>
      </c>
      <c r="V72" s="443">
        <f t="shared" ref="V72:V76" si="18">S72*G72</f>
        <v>0</v>
      </c>
      <c r="W72" s="23"/>
    </row>
    <row r="73" spans="6:23">
      <c r="F73" s="439" t="s">
        <v>573</v>
      </c>
      <c r="G73" s="440">
        <v>100</v>
      </c>
      <c r="H73" s="441"/>
      <c r="I73" s="477">
        <f t="shared" ref="I73:I76" si="19">J73*K73</f>
        <v>37557</v>
      </c>
      <c r="J73" s="470">
        <v>4173</v>
      </c>
      <c r="K73" s="532">
        <f t="shared" si="13"/>
        <v>9</v>
      </c>
      <c r="L73" s="443">
        <f t="shared" si="14"/>
        <v>3755700</v>
      </c>
      <c r="M73" s="441"/>
      <c r="N73" s="477">
        <f t="shared" ref="N73:N76" si="20">O73*P73</f>
        <v>0</v>
      </c>
      <c r="O73" s="470">
        <v>2015</v>
      </c>
      <c r="P73" s="532">
        <f t="shared" si="15"/>
        <v>0</v>
      </c>
      <c r="Q73" s="472">
        <f t="shared" si="16"/>
        <v>0</v>
      </c>
      <c r="R73" s="441" t="s">
        <v>909</v>
      </c>
      <c r="S73" s="442">
        <v>0</v>
      </c>
      <c r="T73" s="470">
        <v>1021</v>
      </c>
      <c r="U73" s="469">
        <f t="shared" si="17"/>
        <v>0</v>
      </c>
      <c r="V73" s="443">
        <f t="shared" si="18"/>
        <v>0</v>
      </c>
      <c r="W73" s="23"/>
    </row>
    <row r="74" spans="6:23">
      <c r="F74" s="439" t="s">
        <v>926</v>
      </c>
      <c r="G74" s="440">
        <v>1000</v>
      </c>
      <c r="H74" s="441" t="s">
        <v>265</v>
      </c>
      <c r="I74" s="477">
        <f t="shared" si="19"/>
        <v>3289.6350574712642</v>
      </c>
      <c r="J74" s="470">
        <v>4173</v>
      </c>
      <c r="K74" s="532">
        <f t="shared" si="13"/>
        <v>0.78831417624521072</v>
      </c>
      <c r="L74" s="443">
        <f t="shared" si="14"/>
        <v>3289635.0574712642</v>
      </c>
      <c r="M74" s="441" t="s">
        <v>265</v>
      </c>
      <c r="N74" s="477">
        <f t="shared" si="20"/>
        <v>3137.5114155251144</v>
      </c>
      <c r="O74" s="470">
        <v>2015</v>
      </c>
      <c r="P74" s="532">
        <f t="shared" si="15"/>
        <v>1.5570776255707763</v>
      </c>
      <c r="Q74" s="472">
        <f t="shared" si="16"/>
        <v>3137511.4155251146</v>
      </c>
      <c r="R74" s="441" t="s">
        <v>909</v>
      </c>
      <c r="S74" s="442">
        <v>0</v>
      </c>
      <c r="T74" s="470">
        <v>1021</v>
      </c>
      <c r="U74" s="469">
        <f t="shared" si="17"/>
        <v>0</v>
      </c>
      <c r="V74" s="443">
        <f t="shared" si="18"/>
        <v>0</v>
      </c>
      <c r="W74" s="23"/>
    </row>
    <row r="75" spans="6:23">
      <c r="F75" s="439" t="s">
        <v>575</v>
      </c>
      <c r="G75" s="440">
        <v>1000</v>
      </c>
      <c r="H75" s="441"/>
      <c r="I75" s="477">
        <f t="shared" si="19"/>
        <v>4173</v>
      </c>
      <c r="J75" s="470">
        <v>4173</v>
      </c>
      <c r="K75" s="532">
        <f t="shared" si="13"/>
        <v>1</v>
      </c>
      <c r="L75" s="443">
        <f t="shared" si="14"/>
        <v>4173000</v>
      </c>
      <c r="M75" s="441"/>
      <c r="N75" s="477">
        <f t="shared" si="20"/>
        <v>2571.3805970149256</v>
      </c>
      <c r="O75" s="470">
        <v>2015</v>
      </c>
      <c r="P75" s="532">
        <f t="shared" si="15"/>
        <v>1.2761194029850746</v>
      </c>
      <c r="Q75" s="472">
        <f t="shared" si="16"/>
        <v>2571380.5970149254</v>
      </c>
      <c r="R75" s="441" t="s">
        <v>909</v>
      </c>
      <c r="S75" s="442">
        <v>0</v>
      </c>
      <c r="T75" s="470">
        <v>1021</v>
      </c>
      <c r="U75" s="469">
        <f t="shared" si="17"/>
        <v>0</v>
      </c>
      <c r="V75" s="443">
        <f t="shared" si="18"/>
        <v>0</v>
      </c>
      <c r="W75" s="23"/>
    </row>
    <row r="76" spans="6:23" ht="15.75" thickBot="1">
      <c r="F76" s="447" t="s">
        <v>231</v>
      </c>
      <c r="G76" s="445">
        <v>1000</v>
      </c>
      <c r="H76" s="441"/>
      <c r="I76" s="477">
        <f t="shared" si="19"/>
        <v>4173</v>
      </c>
      <c r="J76" s="470">
        <v>4173</v>
      </c>
      <c r="K76" s="533">
        <f t="shared" si="13"/>
        <v>1</v>
      </c>
      <c r="L76" s="443">
        <f t="shared" si="14"/>
        <v>4173000</v>
      </c>
      <c r="M76" s="441"/>
      <c r="N76" s="477">
        <f t="shared" si="20"/>
        <v>2015</v>
      </c>
      <c r="O76" s="470">
        <v>2015</v>
      </c>
      <c r="P76" s="533">
        <f t="shared" si="15"/>
        <v>1</v>
      </c>
      <c r="Q76" s="472">
        <f t="shared" si="16"/>
        <v>2015000</v>
      </c>
      <c r="R76" s="446"/>
      <c r="S76" s="442">
        <v>0</v>
      </c>
      <c r="T76" s="470">
        <v>1021</v>
      </c>
      <c r="U76" s="469">
        <f t="shared" si="17"/>
        <v>0</v>
      </c>
      <c r="V76" s="443">
        <f t="shared" si="18"/>
        <v>0</v>
      </c>
      <c r="W76" s="23"/>
    </row>
    <row r="77" spans="6:23" ht="15.75" thickBot="1">
      <c r="F77" s="479" t="s">
        <v>203</v>
      </c>
      <c r="G77" s="480"/>
      <c r="H77" s="481"/>
      <c r="I77" s="482"/>
      <c r="J77" s="483"/>
      <c r="K77" s="483"/>
      <c r="L77" s="438">
        <f>SUM(L71:L75)</f>
        <v>18856567.079180896</v>
      </c>
      <c r="M77" s="481"/>
      <c r="N77" s="482"/>
      <c r="O77" s="483"/>
      <c r="P77" s="483"/>
      <c r="Q77" s="438">
        <f>SUM(Q71:Q75)</f>
        <v>9738892.0125400387</v>
      </c>
      <c r="R77" s="484"/>
      <c r="S77" s="485"/>
      <c r="T77" s="485"/>
      <c r="U77" s="485"/>
      <c r="V77" s="438">
        <f>SUM(V71:V75)</f>
        <v>0</v>
      </c>
      <c r="W77" s="474">
        <f>L77+Q77+V77</f>
        <v>28595459.091720935</v>
      </c>
    </row>
    <row r="78" spans="6:23" ht="15.75" thickBot="1">
      <c r="F78" s="486" t="s">
        <v>1041</v>
      </c>
      <c r="G78" s="487"/>
      <c r="H78" s="487"/>
      <c r="I78" s="488"/>
      <c r="J78" s="488"/>
      <c r="K78" s="488"/>
      <c r="L78" s="474">
        <f>L63-L77</f>
        <v>1591132.9208191037</v>
      </c>
      <c r="M78" s="487"/>
      <c r="N78" s="488"/>
      <c r="O78" s="488"/>
      <c r="P78" s="488"/>
      <c r="Q78" s="474">
        <f>Q63-Q77</f>
        <v>1813500</v>
      </c>
      <c r="R78" s="489"/>
      <c r="S78" s="490"/>
      <c r="T78" s="490"/>
      <c r="U78" s="490"/>
      <c r="V78" s="474">
        <f>V63-V77</f>
        <v>0</v>
      </c>
      <c r="W78" s="474">
        <f>L78+Q78+V78</f>
        <v>3404632.9208191037</v>
      </c>
    </row>
  </sheetData>
  <mergeCells count="18">
    <mergeCell ref="R54:V54"/>
    <mergeCell ref="H55:L55"/>
    <mergeCell ref="M55:Q55"/>
    <mergeCell ref="R55:V55"/>
    <mergeCell ref="H41:L41"/>
    <mergeCell ref="M41:Q41"/>
    <mergeCell ref="R41:V41"/>
    <mergeCell ref="H42:L42"/>
    <mergeCell ref="M42:Q42"/>
    <mergeCell ref="R42:V42"/>
    <mergeCell ref="H54:L54"/>
    <mergeCell ref="M54:Q54"/>
    <mergeCell ref="H68:L68"/>
    <mergeCell ref="M68:Q68"/>
    <mergeCell ref="R68:V68"/>
    <mergeCell ref="H69:L69"/>
    <mergeCell ref="M69:Q69"/>
    <mergeCell ref="R69:V69"/>
  </mergeCells>
  <pageMargins left="0.7" right="0.7" top="0.75" bottom="0.75" header="0.3" footer="0.3"/>
  <pageSetup paperSize="9" orientation="portrait" horizontalDpi="90" verticalDpi="90" r:id="rId1"/>
  <legacyDrawing r:id="rId2"/>
  <tableParts count="1">
    <tablePart r:id="rId3"/>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workbookViewId="0"/>
  </sheetViews>
  <sheetFormatPr defaultColWidth="8.85546875" defaultRowHeight="12.75"/>
  <cols>
    <col min="1" max="1" width="38.140625" style="793" bestFit="1" customWidth="1"/>
    <col min="2" max="9" width="18.28515625" style="793" customWidth="1"/>
    <col min="10" max="16384" width="8.85546875" style="793"/>
  </cols>
  <sheetData>
    <row r="1" spans="1:12" ht="13.5" thickBot="1"/>
    <row r="2" spans="1:12" ht="13.5" thickBot="1">
      <c r="A2" s="794" t="s">
        <v>1282</v>
      </c>
      <c r="B2" s="1983">
        <v>2020</v>
      </c>
      <c r="C2" s="1984"/>
      <c r="D2" s="1983">
        <v>2021</v>
      </c>
      <c r="E2" s="1984"/>
      <c r="F2" s="1983">
        <v>2022</v>
      </c>
      <c r="G2" s="1984"/>
      <c r="H2" s="1983">
        <v>2023</v>
      </c>
      <c r="I2" s="1984"/>
    </row>
    <row r="3" spans="1:12">
      <c r="A3" s="795" t="s">
        <v>1283</v>
      </c>
      <c r="B3" s="796">
        <v>3477090</v>
      </c>
      <c r="C3" s="797">
        <f>B3/B$8</f>
        <v>0.14144736079358824</v>
      </c>
      <c r="D3" s="798">
        <v>3295089</v>
      </c>
      <c r="E3" s="797">
        <f>D3/D$8</f>
        <v>0.12954654821832112</v>
      </c>
      <c r="F3" s="798">
        <v>3615066</v>
      </c>
      <c r="G3" s="797">
        <f>F3/F$8</f>
        <v>0.10968592804388595</v>
      </c>
      <c r="H3" s="798">
        <v>3856796</v>
      </c>
      <c r="I3" s="797">
        <f>H3/H$8</f>
        <v>0.10360583382898601</v>
      </c>
    </row>
    <row r="4" spans="1:12">
      <c r="A4" s="795" t="s">
        <v>1284</v>
      </c>
      <c r="B4" s="796"/>
      <c r="C4" s="797">
        <f>B4/B$8</f>
        <v>0</v>
      </c>
      <c r="D4" s="798">
        <v>69590</v>
      </c>
      <c r="E4" s="797">
        <f>D4/D$8</f>
        <v>2.7359334726658269E-3</v>
      </c>
      <c r="F4" s="798">
        <v>298014</v>
      </c>
      <c r="G4" s="797">
        <f>F4/F$8</f>
        <v>9.042142566711266E-3</v>
      </c>
      <c r="H4" s="798">
        <v>564661</v>
      </c>
      <c r="I4" s="797">
        <f>H4/H$8</f>
        <v>1.5168594277661838E-2</v>
      </c>
    </row>
    <row r="5" spans="1:12">
      <c r="A5" s="795" t="s">
        <v>1285</v>
      </c>
      <c r="B5" s="796">
        <v>2387501</v>
      </c>
      <c r="C5" s="797">
        <f>B5/B$8</f>
        <v>9.7123087220075621E-2</v>
      </c>
      <c r="D5" s="798">
        <v>3852314</v>
      </c>
      <c r="E5" s="797">
        <f>D5/D$8</f>
        <v>0.15145387009367986</v>
      </c>
      <c r="F5" s="798">
        <f>4923+6767593</f>
        <v>6772516</v>
      </c>
      <c r="G5" s="797">
        <f>F5/F$8</f>
        <v>0.20548717579487244</v>
      </c>
      <c r="H5" s="798">
        <f>19445+9501225.4</f>
        <v>9520670.4000000004</v>
      </c>
      <c r="I5" s="797">
        <f>H5/H$8</f>
        <v>0.25575555341867856</v>
      </c>
    </row>
    <row r="6" spans="1:12">
      <c r="A6" s="795" t="s">
        <v>988</v>
      </c>
      <c r="B6" s="796">
        <v>3462542</v>
      </c>
      <c r="C6" s="797">
        <f>B6/B$8</f>
        <v>0.14085555091670121</v>
      </c>
      <c r="D6" s="798">
        <v>3659983</v>
      </c>
      <c r="E6" s="797">
        <f>D6/D$8</f>
        <v>0.14389236958022547</v>
      </c>
      <c r="F6" s="798">
        <v>4981141</v>
      </c>
      <c r="G6" s="797">
        <f>F6/F$8</f>
        <v>0.1511344670615834</v>
      </c>
      <c r="H6" s="798">
        <v>5154625</v>
      </c>
      <c r="I6" s="797">
        <f>H6/H$8</f>
        <v>0.13846965750865148</v>
      </c>
    </row>
    <row r="7" spans="1:12" ht="13.5" thickBot="1">
      <c r="A7" s="795" t="s">
        <v>1286</v>
      </c>
      <c r="B7" s="796">
        <v>15255086</v>
      </c>
      <c r="C7" s="797">
        <f>B7/B$8</f>
        <v>0.6205740010696349</v>
      </c>
      <c r="D7" s="798">
        <v>14558584</v>
      </c>
      <c r="E7" s="797">
        <f>D7/D$8</f>
        <v>0.57237127863510773</v>
      </c>
      <c r="F7" s="798">
        <f>23817+17267785</f>
        <v>17291602</v>
      </c>
      <c r="G7" s="797">
        <f>F7/F$8</f>
        <v>0.52465028653294699</v>
      </c>
      <c r="H7" s="798">
        <f>93793+18035119</f>
        <v>18128912</v>
      </c>
      <c r="I7" s="797">
        <f>H7/H$8</f>
        <v>0.48700036096602217</v>
      </c>
    </row>
    <row r="8" spans="1:12" ht="13.5" thickBot="1">
      <c r="A8" s="794" t="s">
        <v>203</v>
      </c>
      <c r="B8" s="799">
        <f>SUM(B3:B7)</f>
        <v>24582219</v>
      </c>
      <c r="C8" s="800"/>
      <c r="D8" s="801">
        <f>SUM(D3:D7)</f>
        <v>25435560</v>
      </c>
      <c r="E8" s="802"/>
      <c r="F8" s="801">
        <f>SUM(F3:F7)</f>
        <v>32958339</v>
      </c>
      <c r="G8" s="802"/>
      <c r="H8" s="801">
        <f>SUM(H3:H7)</f>
        <v>37225664.399999999</v>
      </c>
      <c r="I8" s="802"/>
    </row>
    <row r="9" spans="1:12">
      <c r="A9" s="793" t="s">
        <v>1287</v>
      </c>
    </row>
    <row r="11" spans="1:12" ht="13.5" thickBot="1"/>
    <row r="12" spans="1:12" ht="13.5" thickBot="1">
      <c r="A12" s="794" t="s">
        <v>1288</v>
      </c>
      <c r="B12" s="1983">
        <v>2020</v>
      </c>
      <c r="C12" s="1984"/>
      <c r="D12" s="1983">
        <v>2021</v>
      </c>
      <c r="E12" s="1984"/>
      <c r="F12" s="1983">
        <v>2022</v>
      </c>
      <c r="G12" s="1984"/>
      <c r="H12" s="1983">
        <v>2023</v>
      </c>
      <c r="I12" s="1984"/>
    </row>
    <row r="13" spans="1:12">
      <c r="A13" s="803" t="s">
        <v>1289</v>
      </c>
      <c r="B13" s="804">
        <v>0</v>
      </c>
      <c r="C13" s="805">
        <f>B13/B$16</f>
        <v>0</v>
      </c>
      <c r="D13" s="806">
        <v>522</v>
      </c>
      <c r="E13" s="805">
        <f>D13/D$16</f>
        <v>1.1543896662221604E-3</v>
      </c>
      <c r="F13" s="806">
        <f>75+30151</f>
        <v>30226</v>
      </c>
      <c r="G13" s="805">
        <f>F13/F$16</f>
        <v>5.795973154362416E-2</v>
      </c>
      <c r="H13" s="806">
        <f>191+66391</f>
        <v>66582</v>
      </c>
      <c r="I13" s="805">
        <f>H13/H$16</f>
        <v>0.11698764972229884</v>
      </c>
      <c r="L13" s="807"/>
    </row>
    <row r="14" spans="1:12">
      <c r="A14" s="808" t="s">
        <v>1283</v>
      </c>
      <c r="B14" s="809">
        <v>520885</v>
      </c>
      <c r="C14" s="810">
        <f>B14/B$16</f>
        <v>0.97787010041808009</v>
      </c>
      <c r="D14" s="811">
        <v>438273</v>
      </c>
      <c r="E14" s="810">
        <f>D14/D$16</f>
        <v>0.96922954441414721</v>
      </c>
      <c r="F14" s="811">
        <v>475763</v>
      </c>
      <c r="G14" s="810">
        <f>F14/F$16</f>
        <v>0.91229721955896448</v>
      </c>
      <c r="H14" s="811">
        <v>488960</v>
      </c>
      <c r="I14" s="810">
        <f>H14/H$16</f>
        <v>0.85912530726345326</v>
      </c>
    </row>
    <row r="15" spans="1:12" ht="13.5" thickBot="1">
      <c r="A15" s="812" t="s">
        <v>1290</v>
      </c>
      <c r="B15" s="813">
        <v>11788</v>
      </c>
      <c r="C15" s="814">
        <f>B15/B$16</f>
        <v>2.2129899581919864E-2</v>
      </c>
      <c r="D15" s="815">
        <v>13392</v>
      </c>
      <c r="E15" s="814">
        <f>D15/D$16</f>
        <v>2.9616065919630594E-2</v>
      </c>
      <c r="F15" s="815">
        <v>15511</v>
      </c>
      <c r="G15" s="814">
        <f>F15/F$16</f>
        <v>2.9743048897411313E-2</v>
      </c>
      <c r="H15" s="815">
        <v>13595</v>
      </c>
      <c r="I15" s="814">
        <f>H15/H$16</f>
        <v>2.3887043014247888E-2</v>
      </c>
    </row>
    <row r="16" spans="1:12" ht="13.5" thickBot="1">
      <c r="A16" s="794" t="s">
        <v>203</v>
      </c>
      <c r="B16" s="799">
        <f>SUM(B13:B15)</f>
        <v>532673</v>
      </c>
      <c r="C16" s="802"/>
      <c r="D16" s="799">
        <f>SUM(D13:D15)</f>
        <v>452187</v>
      </c>
      <c r="E16" s="802"/>
      <c r="F16" s="799">
        <f>SUM(F13:F15)</f>
        <v>521500</v>
      </c>
      <c r="G16" s="802"/>
      <c r="H16" s="799">
        <f>SUM(H13:H15)</f>
        <v>569137</v>
      </c>
      <c r="I16" s="802"/>
    </row>
    <row r="17" spans="1:7">
      <c r="A17" s="793" t="s">
        <v>1291</v>
      </c>
    </row>
    <row r="19" spans="1:7" ht="13.5" thickBot="1"/>
    <row r="20" spans="1:7" ht="13.5" thickBot="1">
      <c r="A20" s="794"/>
      <c r="B20" s="816"/>
      <c r="C20" s="817"/>
      <c r="D20" s="818">
        <v>2020</v>
      </c>
      <c r="E20" s="819">
        <v>2021</v>
      </c>
      <c r="F20" s="819">
        <v>2022</v>
      </c>
      <c r="G20" s="820">
        <v>2023</v>
      </c>
    </row>
    <row r="21" spans="1:7">
      <c r="A21" s="1985" t="s">
        <v>807</v>
      </c>
      <c r="B21" s="821" t="s">
        <v>1292</v>
      </c>
      <c r="C21" s="822" t="s">
        <v>1293</v>
      </c>
      <c r="D21" s="823">
        <v>8778967</v>
      </c>
      <c r="E21" s="824">
        <v>8396380</v>
      </c>
      <c r="F21" s="824">
        <v>10173413</v>
      </c>
      <c r="G21" s="825">
        <v>10328176</v>
      </c>
    </row>
    <row r="22" spans="1:7">
      <c r="A22" s="1986"/>
      <c r="B22" s="826" t="s">
        <v>1294</v>
      </c>
      <c r="C22" s="827" t="s">
        <v>1293</v>
      </c>
      <c r="D22" s="828">
        <v>326137</v>
      </c>
      <c r="E22" s="829">
        <v>305392</v>
      </c>
      <c r="F22" s="829">
        <v>326525</v>
      </c>
      <c r="G22" s="830" t="s">
        <v>616</v>
      </c>
    </row>
    <row r="23" spans="1:7">
      <c r="A23" s="1986"/>
      <c r="B23" s="826" t="s">
        <v>1295</v>
      </c>
      <c r="C23" s="827" t="s">
        <v>1293</v>
      </c>
      <c r="D23" s="828">
        <v>263221</v>
      </c>
      <c r="E23" s="829">
        <v>167801</v>
      </c>
      <c r="F23" s="829">
        <v>363371</v>
      </c>
      <c r="G23" s="830">
        <v>381933</v>
      </c>
    </row>
    <row r="24" spans="1:7">
      <c r="A24" s="1986"/>
      <c r="B24" s="826" t="s">
        <v>1296</v>
      </c>
      <c r="C24" s="827" t="s">
        <v>1293</v>
      </c>
      <c r="D24" s="828">
        <v>2791000</v>
      </c>
      <c r="E24" s="829">
        <v>2453700</v>
      </c>
      <c r="F24" s="829">
        <v>2528400</v>
      </c>
      <c r="G24" s="830">
        <v>2432150</v>
      </c>
    </row>
    <row r="25" spans="1:7">
      <c r="A25" s="1986"/>
      <c r="B25" s="826" t="s">
        <v>1297</v>
      </c>
      <c r="C25" s="827" t="s">
        <v>1283</v>
      </c>
      <c r="D25" s="828">
        <v>1380616</v>
      </c>
      <c r="E25" s="829">
        <v>1263303</v>
      </c>
      <c r="F25" s="829">
        <v>1779331</v>
      </c>
      <c r="G25" s="830">
        <v>1877539</v>
      </c>
    </row>
    <row r="26" spans="1:7" ht="13.5" thickBot="1">
      <c r="A26" s="1987"/>
      <c r="B26" s="831" t="s">
        <v>988</v>
      </c>
      <c r="C26" s="832"/>
      <c r="D26" s="833">
        <v>3462542</v>
      </c>
      <c r="E26" s="834">
        <v>3659983</v>
      </c>
      <c r="F26" s="834">
        <v>4981141</v>
      </c>
      <c r="G26" s="835">
        <v>5154625</v>
      </c>
    </row>
    <row r="27" spans="1:7">
      <c r="A27" s="1985" t="s">
        <v>1298</v>
      </c>
      <c r="B27" s="821" t="s">
        <v>1299</v>
      </c>
      <c r="C27" s="822"/>
      <c r="D27" s="823">
        <v>2683221</v>
      </c>
      <c r="E27" s="824">
        <v>2851375</v>
      </c>
      <c r="F27" s="824">
        <v>3378326</v>
      </c>
      <c r="G27" s="825">
        <v>4352155</v>
      </c>
    </row>
    <row r="28" spans="1:7" ht="13.5" thickBot="1">
      <c r="A28" s="1987"/>
      <c r="B28" s="831" t="s">
        <v>1297</v>
      </c>
      <c r="C28" s="832"/>
      <c r="D28" s="833">
        <v>2084331</v>
      </c>
      <c r="E28" s="834">
        <v>2093329</v>
      </c>
      <c r="F28" s="834">
        <v>2126787</v>
      </c>
      <c r="G28" s="835">
        <v>2538730</v>
      </c>
    </row>
    <row r="29" spans="1:7" ht="13.5" thickBot="1">
      <c r="A29" s="836" t="s">
        <v>4</v>
      </c>
      <c r="B29" s="837" t="s">
        <v>1299</v>
      </c>
      <c r="C29" s="816"/>
      <c r="D29" s="838">
        <v>298955</v>
      </c>
      <c r="E29" s="839">
        <v>291689</v>
      </c>
      <c r="F29" s="839">
        <v>368417</v>
      </c>
      <c r="G29" s="840">
        <v>414028</v>
      </c>
    </row>
    <row r="30" spans="1:7">
      <c r="A30" s="1985" t="s">
        <v>1300</v>
      </c>
      <c r="B30" s="821" t="s">
        <v>1294</v>
      </c>
      <c r="C30" s="822" t="s">
        <v>1293</v>
      </c>
      <c r="D30" s="823">
        <v>109338</v>
      </c>
      <c r="E30" s="824">
        <v>92247</v>
      </c>
      <c r="F30" s="824">
        <v>129333</v>
      </c>
      <c r="G30" s="825">
        <v>126644</v>
      </c>
    </row>
    <row r="31" spans="1:7">
      <c r="A31" s="1986"/>
      <c r="B31" s="826" t="s">
        <v>1301</v>
      </c>
      <c r="C31" s="827" t="s">
        <v>1283</v>
      </c>
      <c r="D31" s="828">
        <v>12143</v>
      </c>
      <c r="E31" s="829">
        <v>8047</v>
      </c>
      <c r="F31" s="829">
        <v>6962</v>
      </c>
      <c r="G31" s="830">
        <v>5188</v>
      </c>
    </row>
    <row r="32" spans="1:7">
      <c r="A32" s="1986"/>
      <c r="B32" s="826" t="s">
        <v>1302</v>
      </c>
      <c r="C32" s="827"/>
      <c r="D32" s="828">
        <v>2387501</v>
      </c>
      <c r="E32" s="829">
        <v>3852314</v>
      </c>
      <c r="F32" s="829">
        <v>6767593</v>
      </c>
      <c r="G32" s="830">
        <v>9501225.4000000004</v>
      </c>
    </row>
    <row r="33" spans="1:7" ht="13.5" thickBot="1">
      <c r="A33" s="1987"/>
      <c r="B33" s="831" t="s">
        <v>1303</v>
      </c>
      <c r="C33" s="832" t="s">
        <v>1304</v>
      </c>
      <c r="D33" s="833">
        <v>1639</v>
      </c>
      <c r="E33" s="834">
        <v>1079</v>
      </c>
      <c r="F33" s="834">
        <v>6933</v>
      </c>
      <c r="G33" s="835">
        <v>6875</v>
      </c>
    </row>
    <row r="34" spans="1:7" ht="13.5" thickBot="1">
      <c r="A34" s="841" t="s">
        <v>1305</v>
      </c>
      <c r="B34" s="837" t="s">
        <v>1299</v>
      </c>
      <c r="C34" s="816"/>
      <c r="D34" s="838">
        <v>4247</v>
      </c>
      <c r="E34" s="839"/>
      <c r="F34" s="839"/>
      <c r="G34" s="840">
        <v>33</v>
      </c>
    </row>
    <row r="36" spans="1:7">
      <c r="A36" s="793" t="s">
        <v>1306</v>
      </c>
    </row>
    <row r="38" spans="1:7">
      <c r="A38" s="793" t="s">
        <v>1307</v>
      </c>
    </row>
    <row r="40" spans="1:7">
      <c r="A40" s="793" t="s">
        <v>1308</v>
      </c>
    </row>
  </sheetData>
  <mergeCells count="11">
    <mergeCell ref="A21:A26"/>
    <mergeCell ref="A27:A28"/>
    <mergeCell ref="A30:A33"/>
    <mergeCell ref="B2:C2"/>
    <mergeCell ref="D2:E2"/>
    <mergeCell ref="F2:G2"/>
    <mergeCell ref="H2:I2"/>
    <mergeCell ref="B12:C12"/>
    <mergeCell ref="D12:E12"/>
    <mergeCell ref="F12:G12"/>
    <mergeCell ref="H12:I12"/>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L25"/>
  <sheetViews>
    <sheetView workbookViewId="0">
      <selection activeCell="C9" sqref="C9"/>
    </sheetView>
  </sheetViews>
  <sheetFormatPr defaultRowHeight="15"/>
  <cols>
    <col min="1" max="2" width="10.28515625" customWidth="1"/>
  </cols>
  <sheetData>
    <row r="6" spans="1:12" ht="15.75" thickBot="1"/>
    <row r="7" spans="1:12">
      <c r="A7" s="1988" t="s">
        <v>1309</v>
      </c>
      <c r="B7" s="1989"/>
      <c r="C7" s="1992" t="s">
        <v>1310</v>
      </c>
      <c r="D7" s="1993"/>
      <c r="E7" s="1994"/>
      <c r="F7" s="1992" t="s">
        <v>1311</v>
      </c>
      <c r="G7" s="1993"/>
      <c r="H7" s="1994"/>
      <c r="I7" s="1993" t="s">
        <v>1312</v>
      </c>
      <c r="J7" s="1993"/>
      <c r="K7" s="1994"/>
    </row>
    <row r="8" spans="1:12" ht="15.75" thickBot="1">
      <c r="A8" s="1990"/>
      <c r="B8" s="1991"/>
      <c r="C8" s="842" t="s">
        <v>550</v>
      </c>
      <c r="D8" s="843" t="s">
        <v>1313</v>
      </c>
      <c r="E8" s="844" t="s">
        <v>1314</v>
      </c>
      <c r="F8" s="842" t="s">
        <v>550</v>
      </c>
      <c r="G8" s="843" t="s">
        <v>1313</v>
      </c>
      <c r="H8" s="844" t="s">
        <v>1314</v>
      </c>
      <c r="I8" s="845" t="s">
        <v>550</v>
      </c>
      <c r="J8" s="843" t="s">
        <v>1313</v>
      </c>
      <c r="K8" s="844" t="s">
        <v>1314</v>
      </c>
    </row>
    <row r="9" spans="1:12">
      <c r="A9" s="846"/>
      <c r="B9" s="847" t="s">
        <v>704</v>
      </c>
      <c r="C9" s="734">
        <v>1243</v>
      </c>
      <c r="D9" s="735">
        <v>14908</v>
      </c>
      <c r="E9" s="848">
        <f>D9/C9</f>
        <v>11.993563958165728</v>
      </c>
      <c r="F9" s="734">
        <v>1311</v>
      </c>
      <c r="G9" s="735">
        <v>14014</v>
      </c>
      <c r="H9" s="848">
        <f>G9/F9</f>
        <v>10.689549961861175</v>
      </c>
      <c r="I9" s="849">
        <f>C9+F9</f>
        <v>2554</v>
      </c>
      <c r="J9" s="735">
        <f>D9+G9</f>
        <v>28922</v>
      </c>
      <c r="K9" s="850">
        <f>J9/I9</f>
        <v>11.324197337509789</v>
      </c>
      <c r="L9" s="851">
        <v>1</v>
      </c>
    </row>
    <row r="10" spans="1:12" ht="15.75" thickBot="1">
      <c r="A10" s="852"/>
      <c r="B10" s="853" t="s">
        <v>705</v>
      </c>
      <c r="C10" s="498">
        <v>478</v>
      </c>
      <c r="D10" s="499">
        <v>2241</v>
      </c>
      <c r="E10" s="854">
        <f>D10/C10</f>
        <v>4.6882845188284517</v>
      </c>
      <c r="F10" s="855">
        <v>1061</v>
      </c>
      <c r="G10" s="856">
        <v>3629</v>
      </c>
      <c r="H10" s="854">
        <f>G10/F10</f>
        <v>3.4203581526861453</v>
      </c>
      <c r="I10" s="857">
        <f>C10+F10</f>
        <v>1539</v>
      </c>
      <c r="J10" s="856">
        <f>D10+G10</f>
        <v>5870</v>
      </c>
      <c r="K10" s="858">
        <f>J10/I10</f>
        <v>3.8141650422352176</v>
      </c>
      <c r="L10" s="851">
        <f>K10/K9</f>
        <v>0.33681548709870496</v>
      </c>
    </row>
    <row r="11" spans="1:12" ht="15.75" thickBot="1">
      <c r="A11" s="859"/>
      <c r="B11" s="860" t="s">
        <v>1315</v>
      </c>
      <c r="C11" s="861"/>
      <c r="D11" s="862"/>
      <c r="E11" s="863">
        <f>E9-E10</f>
        <v>7.3052794393372764</v>
      </c>
      <c r="F11" s="861"/>
      <c r="G11" s="862"/>
      <c r="H11" s="863">
        <f>H9-H10</f>
        <v>7.2691918091750303</v>
      </c>
      <c r="I11" s="864"/>
      <c r="J11" s="862"/>
      <c r="K11" s="865">
        <f>K9-K10</f>
        <v>7.5100322952745717</v>
      </c>
      <c r="L11" s="851">
        <f>K11/K9</f>
        <v>0.6631845129012951</v>
      </c>
    </row>
    <row r="13" spans="1:12" ht="15.75" thickBot="1"/>
    <row r="14" spans="1:12">
      <c r="A14" s="1988" t="s">
        <v>1316</v>
      </c>
      <c r="B14" s="1989"/>
      <c r="C14" s="1992" t="s">
        <v>1310</v>
      </c>
      <c r="D14" s="1993"/>
      <c r="E14" s="1994"/>
      <c r="F14" s="1992" t="s">
        <v>1311</v>
      </c>
      <c r="G14" s="1993"/>
      <c r="H14" s="1994"/>
      <c r="I14" s="1993" t="s">
        <v>1312</v>
      </c>
      <c r="J14" s="1993"/>
      <c r="K14" s="1994"/>
    </row>
    <row r="15" spans="1:12" ht="15.75" thickBot="1">
      <c r="A15" s="1990"/>
      <c r="B15" s="1991"/>
      <c r="C15" s="842" t="s">
        <v>550</v>
      </c>
      <c r="D15" s="843" t="s">
        <v>1313</v>
      </c>
      <c r="E15" s="844" t="s">
        <v>1314</v>
      </c>
      <c r="F15" s="842" t="s">
        <v>550</v>
      </c>
      <c r="G15" s="843" t="s">
        <v>1313</v>
      </c>
      <c r="H15" s="844" t="s">
        <v>1314</v>
      </c>
      <c r="I15" s="845" t="s">
        <v>550</v>
      </c>
      <c r="J15" s="843" t="s">
        <v>1313</v>
      </c>
      <c r="K15" s="844" t="s">
        <v>1314</v>
      </c>
    </row>
    <row r="16" spans="1:12">
      <c r="A16" s="846"/>
      <c r="B16" s="847" t="s">
        <v>704</v>
      </c>
      <c r="C16" s="734">
        <v>130</v>
      </c>
      <c r="D16" s="735">
        <v>2379</v>
      </c>
      <c r="E16" s="848">
        <f>D16/C16</f>
        <v>18.3</v>
      </c>
      <c r="F16" s="734">
        <v>298</v>
      </c>
      <c r="G16" s="735">
        <v>4739</v>
      </c>
      <c r="H16" s="848">
        <f>G16/F16</f>
        <v>15.90268456375839</v>
      </c>
      <c r="I16" s="849">
        <v>428</v>
      </c>
      <c r="J16" s="735">
        <v>7118</v>
      </c>
      <c r="K16" s="850">
        <f>J16/I16</f>
        <v>16.630841121495326</v>
      </c>
      <c r="L16" s="851">
        <v>1</v>
      </c>
    </row>
    <row r="17" spans="1:12" ht="15.75" thickBot="1">
      <c r="A17" s="852"/>
      <c r="B17" s="853" t="s">
        <v>705</v>
      </c>
      <c r="C17" s="498">
        <v>137</v>
      </c>
      <c r="D17" s="499">
        <v>861</v>
      </c>
      <c r="E17" s="854">
        <f>D17/C17</f>
        <v>6.2846715328467155</v>
      </c>
      <c r="F17" s="498">
        <v>277</v>
      </c>
      <c r="G17" s="499">
        <v>1192</v>
      </c>
      <c r="H17" s="854">
        <f>G17/F17</f>
        <v>4.3032490974729241</v>
      </c>
      <c r="I17" s="743">
        <v>414</v>
      </c>
      <c r="J17" s="499">
        <v>2053</v>
      </c>
      <c r="K17" s="858">
        <f>J17/I17</f>
        <v>4.9589371980676331</v>
      </c>
      <c r="L17" s="851">
        <f>K17/K16</f>
        <v>0.29817717347189476</v>
      </c>
    </row>
    <row r="18" spans="1:12" ht="15.75" thickBot="1">
      <c r="A18" s="859"/>
      <c r="B18" s="860" t="s">
        <v>1315</v>
      </c>
      <c r="C18" s="861">
        <v>-7</v>
      </c>
      <c r="D18" s="862">
        <v>1518</v>
      </c>
      <c r="E18" s="863">
        <f>E16-E17</f>
        <v>12.015328467153285</v>
      </c>
      <c r="F18" s="861">
        <v>21</v>
      </c>
      <c r="G18" s="862">
        <v>3547</v>
      </c>
      <c r="H18" s="863">
        <f>H16-H17</f>
        <v>11.599435466285467</v>
      </c>
      <c r="I18" s="864">
        <v>14</v>
      </c>
      <c r="J18" s="862">
        <v>5065</v>
      </c>
      <c r="K18" s="865">
        <f>K16-K17</f>
        <v>11.671903923427692</v>
      </c>
      <c r="L18" s="851">
        <f>K18/K16</f>
        <v>0.70182282652810513</v>
      </c>
    </row>
    <row r="20" spans="1:12" ht="15.75" thickBot="1"/>
    <row r="21" spans="1:12">
      <c r="A21" s="1988" t="s">
        <v>1317</v>
      </c>
      <c r="B21" s="1989"/>
      <c r="C21" s="1992" t="s">
        <v>1310</v>
      </c>
      <c r="D21" s="1993"/>
      <c r="E21" s="1993"/>
      <c r="F21" s="1992" t="s">
        <v>1311</v>
      </c>
      <c r="G21" s="1993"/>
      <c r="H21" s="1994"/>
      <c r="I21" s="1993" t="s">
        <v>1312</v>
      </c>
      <c r="J21" s="1993"/>
      <c r="K21" s="1994"/>
    </row>
    <row r="22" spans="1:12" ht="15.75" thickBot="1">
      <c r="A22" s="1990"/>
      <c r="B22" s="1991"/>
      <c r="C22" s="842" t="s">
        <v>550</v>
      </c>
      <c r="D22" s="843" t="s">
        <v>1313</v>
      </c>
      <c r="E22" s="866" t="s">
        <v>1314</v>
      </c>
      <c r="F22" s="842" t="s">
        <v>550</v>
      </c>
      <c r="G22" s="843" t="s">
        <v>1313</v>
      </c>
      <c r="H22" s="844" t="s">
        <v>1314</v>
      </c>
      <c r="I22" s="845" t="s">
        <v>550</v>
      </c>
      <c r="J22" s="843" t="s">
        <v>1313</v>
      </c>
      <c r="K22" s="844" t="s">
        <v>1314</v>
      </c>
    </row>
    <row r="23" spans="1:12">
      <c r="A23" s="846"/>
      <c r="B23" s="847" t="s">
        <v>704</v>
      </c>
      <c r="C23" s="734">
        <f t="shared" ref="C23:D25" si="0">C9+C16</f>
        <v>1373</v>
      </c>
      <c r="D23" s="735">
        <f t="shared" si="0"/>
        <v>17287</v>
      </c>
      <c r="E23" s="867">
        <f>D23/C23</f>
        <v>12.590677348871084</v>
      </c>
      <c r="F23" s="734">
        <f t="shared" ref="F23:G25" si="1">F9+F16</f>
        <v>1609</v>
      </c>
      <c r="G23" s="735">
        <f t="shared" si="1"/>
        <v>18753</v>
      </c>
      <c r="H23" s="848">
        <f>G23/F23</f>
        <v>11.655065257924177</v>
      </c>
      <c r="I23" s="849">
        <f t="shared" ref="I23:J25" si="2">I9+I16</f>
        <v>2982</v>
      </c>
      <c r="J23" s="735">
        <f t="shared" si="2"/>
        <v>36040</v>
      </c>
      <c r="K23" s="868">
        <f>J23/I23</f>
        <v>12.085848423876593</v>
      </c>
      <c r="L23" s="851">
        <v>1</v>
      </c>
    </row>
    <row r="24" spans="1:12" ht="15.75" thickBot="1">
      <c r="A24" s="852"/>
      <c r="B24" s="853" t="s">
        <v>705</v>
      </c>
      <c r="C24" s="498">
        <f t="shared" si="0"/>
        <v>615</v>
      </c>
      <c r="D24" s="499">
        <f t="shared" si="0"/>
        <v>3102</v>
      </c>
      <c r="E24" s="869">
        <f>D24/C24</f>
        <v>5.0439024390243903</v>
      </c>
      <c r="F24" s="498">
        <f t="shared" si="1"/>
        <v>1338</v>
      </c>
      <c r="G24" s="499">
        <f t="shared" si="1"/>
        <v>4821</v>
      </c>
      <c r="H24" s="854">
        <f>G24/F24</f>
        <v>3.6031390134529149</v>
      </c>
      <c r="I24" s="743">
        <f t="shared" si="2"/>
        <v>1953</v>
      </c>
      <c r="J24" s="499">
        <f t="shared" si="2"/>
        <v>7923</v>
      </c>
      <c r="K24" s="870">
        <f>J24/I24</f>
        <v>4.0568356374807983</v>
      </c>
      <c r="L24" s="851">
        <f>K24/K23</f>
        <v>0.33566825391142457</v>
      </c>
    </row>
    <row r="25" spans="1:12" ht="15.75" thickBot="1">
      <c r="A25" s="871"/>
      <c r="B25" s="872" t="s">
        <v>1315</v>
      </c>
      <c r="C25" s="861">
        <f t="shared" si="0"/>
        <v>-7</v>
      </c>
      <c r="D25" s="862">
        <f t="shared" si="0"/>
        <v>1518</v>
      </c>
      <c r="E25" s="873">
        <f>E23-E24</f>
        <v>7.5467749098466941</v>
      </c>
      <c r="F25" s="861">
        <f t="shared" si="1"/>
        <v>21</v>
      </c>
      <c r="G25" s="862">
        <f t="shared" si="1"/>
        <v>3547</v>
      </c>
      <c r="H25" s="863">
        <f>H23-H24</f>
        <v>8.0519262444712609</v>
      </c>
      <c r="I25" s="864">
        <f t="shared" si="2"/>
        <v>14</v>
      </c>
      <c r="J25" s="862">
        <f t="shared" si="2"/>
        <v>5065</v>
      </c>
      <c r="K25" s="865">
        <f>K23-K24</f>
        <v>8.0290127863957945</v>
      </c>
      <c r="L25" s="851">
        <f>K25/K23</f>
        <v>0.66433174608857548</v>
      </c>
    </row>
  </sheetData>
  <mergeCells count="12">
    <mergeCell ref="A21:B22"/>
    <mergeCell ref="C21:E21"/>
    <mergeCell ref="F21:H21"/>
    <mergeCell ref="I21:K21"/>
    <mergeCell ref="A7:B8"/>
    <mergeCell ref="C7:E7"/>
    <mergeCell ref="F7:H7"/>
    <mergeCell ref="I7:K7"/>
    <mergeCell ref="A14:B15"/>
    <mergeCell ref="C14:E14"/>
    <mergeCell ref="F14:H14"/>
    <mergeCell ref="I14:K1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B1:S37"/>
  <sheetViews>
    <sheetView zoomScaleNormal="100" workbookViewId="0">
      <selection activeCell="B18" sqref="B18:E18"/>
    </sheetView>
  </sheetViews>
  <sheetFormatPr defaultColWidth="8.85546875" defaultRowHeight="12"/>
  <cols>
    <col min="1" max="1" width="4.28515625" style="22" customWidth="1"/>
    <col min="2" max="2" width="4.28515625" style="22" bestFit="1" customWidth="1"/>
    <col min="3" max="3" width="7.7109375" style="22" bestFit="1" customWidth="1"/>
    <col min="4" max="4" width="5.7109375" style="22" bestFit="1" customWidth="1"/>
    <col min="5" max="5" width="8.42578125" style="22" bestFit="1" customWidth="1"/>
    <col min="6" max="6" width="3.5703125" style="22" customWidth="1"/>
    <col min="7" max="7" width="4.28515625" style="22" bestFit="1" customWidth="1"/>
    <col min="8" max="9" width="7.7109375" style="22" bestFit="1" customWidth="1"/>
    <col min="10" max="10" width="8" style="22" bestFit="1" customWidth="1"/>
    <col min="11" max="11" width="3.28515625" style="22" customWidth="1"/>
    <col min="12" max="12" width="4.28515625" style="22" bestFit="1" customWidth="1"/>
    <col min="13" max="13" width="6.7109375" style="22" bestFit="1" customWidth="1"/>
    <col min="14" max="14" width="9.5703125" style="22" customWidth="1"/>
    <col min="15" max="15" width="8.42578125" style="22" bestFit="1" customWidth="1"/>
    <col min="16" max="16" width="3.5703125" style="22" customWidth="1"/>
    <col min="17" max="16384" width="8.85546875" style="22"/>
  </cols>
  <sheetData>
    <row r="1" spans="2:19">
      <c r="B1" s="1811" t="s">
        <v>680</v>
      </c>
      <c r="C1" s="1812"/>
      <c r="D1" s="1812"/>
      <c r="E1" s="1813"/>
      <c r="G1" s="1811" t="s">
        <v>681</v>
      </c>
      <c r="H1" s="1812"/>
      <c r="I1" s="1812"/>
      <c r="J1" s="1812"/>
      <c r="L1" s="1811" t="s">
        <v>682</v>
      </c>
      <c r="M1" s="1812"/>
      <c r="N1" s="1812"/>
      <c r="O1" s="1812"/>
    </row>
    <row r="2" spans="2:19">
      <c r="B2" s="1814"/>
      <c r="C2" s="1815"/>
      <c r="D2" s="1815"/>
      <c r="E2" s="1816"/>
      <c r="G2" s="1814"/>
      <c r="H2" s="1815"/>
      <c r="I2" s="1815"/>
      <c r="J2" s="1815"/>
      <c r="L2" s="1814"/>
      <c r="M2" s="1815"/>
      <c r="N2" s="1815"/>
      <c r="O2" s="1815"/>
    </row>
    <row r="4" spans="2:19">
      <c r="B4" s="1817" t="s">
        <v>903</v>
      </c>
      <c r="C4" s="1817"/>
      <c r="D4" s="1817"/>
      <c r="E4" s="1817"/>
      <c r="G4" s="1817" t="s">
        <v>1186</v>
      </c>
      <c r="H4" s="1817"/>
      <c r="I4" s="1817"/>
      <c r="J4" s="1817"/>
      <c r="L4" s="1817" t="s">
        <v>1186</v>
      </c>
      <c r="M4" s="1817"/>
      <c r="N4" s="1817"/>
      <c r="O4" s="1817"/>
    </row>
    <row r="6" spans="2:19">
      <c r="B6" s="1818" t="s">
        <v>1225</v>
      </c>
      <c r="C6" s="1818"/>
      <c r="D6" s="1818"/>
      <c r="E6" s="1818"/>
      <c r="G6" s="1818" t="s">
        <v>1225</v>
      </c>
      <c r="H6" s="1818"/>
      <c r="I6" s="1818"/>
      <c r="J6" s="1818"/>
      <c r="L6" s="1818" t="s">
        <v>1225</v>
      </c>
      <c r="M6" s="1818"/>
      <c r="N6" s="1818"/>
      <c r="O6" s="1818"/>
    </row>
    <row r="7" spans="2:19" s="254" customFormat="1">
      <c r="C7" s="255" t="s">
        <v>704</v>
      </c>
      <c r="D7" s="256" t="s">
        <v>705</v>
      </c>
      <c r="E7" s="257" t="s">
        <v>9</v>
      </c>
      <c r="H7" s="255" t="s">
        <v>704</v>
      </c>
      <c r="I7" s="256" t="s">
        <v>705</v>
      </c>
      <c r="J7" s="257" t="s">
        <v>9</v>
      </c>
      <c r="M7" s="255" t="s">
        <v>704</v>
      </c>
      <c r="N7" s="256" t="s">
        <v>705</v>
      </c>
      <c r="O7" s="257" t="s">
        <v>9</v>
      </c>
      <c r="S7" s="22"/>
    </row>
    <row r="8" spans="2:19" s="173" customFormat="1" ht="36">
      <c r="B8" s="258" t="s">
        <v>264</v>
      </c>
      <c r="C8" s="259" t="s">
        <v>616</v>
      </c>
      <c r="D8" s="251" t="s">
        <v>616</v>
      </c>
      <c r="E8" s="260" t="s">
        <v>1188</v>
      </c>
      <c r="G8" s="258" t="s">
        <v>264</v>
      </c>
      <c r="H8" s="251" t="s">
        <v>1221</v>
      </c>
      <c r="I8" s="251" t="s">
        <v>1222</v>
      </c>
      <c r="J8" s="260" t="s">
        <v>604</v>
      </c>
      <c r="L8" s="258" t="s">
        <v>264</v>
      </c>
      <c r="M8" s="251" t="s">
        <v>1223</v>
      </c>
      <c r="N8" s="262" t="s">
        <v>616</v>
      </c>
      <c r="O8" s="260" t="s">
        <v>1188</v>
      </c>
      <c r="Q8" s="22"/>
    </row>
    <row r="9" spans="2:19" s="173" customFormat="1" ht="24">
      <c r="B9" s="261" t="s">
        <v>265</v>
      </c>
      <c r="C9" s="251" t="s">
        <v>1220</v>
      </c>
      <c r="D9" s="262" t="s">
        <v>616</v>
      </c>
      <c r="E9" s="260" t="s">
        <v>1188</v>
      </c>
      <c r="G9" s="261" t="s">
        <v>265</v>
      </c>
      <c r="H9" s="251" t="s">
        <v>604</v>
      </c>
      <c r="I9" s="251" t="s">
        <v>604</v>
      </c>
      <c r="J9" s="260" t="s">
        <v>604</v>
      </c>
      <c r="L9" s="261" t="s">
        <v>265</v>
      </c>
      <c r="M9" s="251" t="s">
        <v>1220</v>
      </c>
      <c r="N9" s="262" t="s">
        <v>616</v>
      </c>
      <c r="O9" s="260" t="s">
        <v>1188</v>
      </c>
      <c r="Q9" s="22"/>
      <c r="R9" s="22"/>
    </row>
    <row r="10" spans="2:19" s="173" customFormat="1" ht="36.75" customHeight="1">
      <c r="B10" s="263" t="s">
        <v>4</v>
      </c>
      <c r="C10" s="264" t="s">
        <v>616</v>
      </c>
      <c r="D10" s="265" t="s">
        <v>616</v>
      </c>
      <c r="E10" s="260" t="s">
        <v>1188</v>
      </c>
      <c r="G10" s="263" t="s">
        <v>4</v>
      </c>
      <c r="H10" s="251" t="s">
        <v>1221</v>
      </c>
      <c r="I10" s="251" t="s">
        <v>1222</v>
      </c>
      <c r="J10" s="260" t="s">
        <v>604</v>
      </c>
      <c r="L10" s="263" t="s">
        <v>4</v>
      </c>
      <c r="M10" s="251" t="s">
        <v>1223</v>
      </c>
      <c r="N10" s="262" t="s">
        <v>616</v>
      </c>
      <c r="O10" s="260" t="s">
        <v>1188</v>
      </c>
      <c r="Q10" s="22"/>
      <c r="R10" s="22"/>
    </row>
    <row r="11" spans="2:19">
      <c r="E11" s="253"/>
      <c r="J11" s="253"/>
      <c r="O11" s="253"/>
    </row>
    <row r="12" spans="2:19">
      <c r="B12" s="1819" t="s">
        <v>706</v>
      </c>
      <c r="C12" s="1819"/>
      <c r="D12" s="1819"/>
      <c r="E12" s="1819"/>
      <c r="G12" s="1819"/>
      <c r="H12" s="1819"/>
      <c r="I12" s="1819"/>
      <c r="J12" s="1819"/>
      <c r="L12" s="1819" t="s">
        <v>706</v>
      </c>
      <c r="M12" s="1819"/>
      <c r="N12" s="1819"/>
      <c r="O12" s="1819"/>
    </row>
    <row r="13" spans="2:19" s="254" customFormat="1">
      <c r="C13" s="255" t="s">
        <v>704</v>
      </c>
      <c r="D13" s="256" t="s">
        <v>705</v>
      </c>
      <c r="E13" s="257" t="s">
        <v>9</v>
      </c>
      <c r="M13" s="255" t="s">
        <v>704</v>
      </c>
      <c r="N13" s="256" t="s">
        <v>1231</v>
      </c>
      <c r="O13" s="257" t="s">
        <v>9</v>
      </c>
    </row>
    <row r="14" spans="2:19" s="173" customFormat="1" ht="24">
      <c r="B14" s="258" t="s">
        <v>264</v>
      </c>
      <c r="C14" s="267"/>
      <c r="D14" s="268"/>
      <c r="E14" s="260" t="s">
        <v>618</v>
      </c>
      <c r="J14" s="269"/>
      <c r="L14" s="258" t="s">
        <v>264</v>
      </c>
      <c r="M14" s="251" t="s">
        <v>618</v>
      </c>
      <c r="N14" s="251" t="s">
        <v>618</v>
      </c>
      <c r="O14" s="260" t="s">
        <v>618</v>
      </c>
    </row>
    <row r="15" spans="2:19" s="173" customFormat="1">
      <c r="B15" s="261" t="s">
        <v>265</v>
      </c>
      <c r="C15" s="251" t="s">
        <v>618</v>
      </c>
      <c r="D15" s="270"/>
      <c r="E15" s="260" t="s">
        <v>618</v>
      </c>
      <c r="H15" s="269"/>
      <c r="J15" s="269"/>
      <c r="L15" s="261" t="s">
        <v>265</v>
      </c>
      <c r="M15" s="251" t="s">
        <v>618</v>
      </c>
      <c r="N15" s="251" t="s">
        <v>618</v>
      </c>
      <c r="O15" s="260" t="s">
        <v>618</v>
      </c>
    </row>
    <row r="16" spans="2:19" s="173" customFormat="1" ht="24">
      <c r="B16" s="263" t="s">
        <v>4</v>
      </c>
      <c r="C16" s="271"/>
      <c r="D16" s="272"/>
      <c r="E16" s="266" t="s">
        <v>618</v>
      </c>
      <c r="J16" s="269"/>
      <c r="L16" s="263" t="s">
        <v>4</v>
      </c>
      <c r="M16" s="251" t="s">
        <v>618</v>
      </c>
      <c r="N16" s="251" t="s">
        <v>618</v>
      </c>
      <c r="O16" s="260" t="s">
        <v>618</v>
      </c>
    </row>
    <row r="17" spans="2:15" s="173" customFormat="1"/>
    <row r="18" spans="2:15">
      <c r="B18" s="1810" t="s">
        <v>1224</v>
      </c>
      <c r="C18" s="1810"/>
      <c r="D18" s="1810"/>
      <c r="E18" s="1810"/>
      <c r="G18" s="1810" t="s">
        <v>1224</v>
      </c>
      <c r="H18" s="1810"/>
      <c r="I18" s="1810"/>
      <c r="J18" s="1810"/>
      <c r="L18" s="1810" t="s">
        <v>1224</v>
      </c>
      <c r="M18" s="1810"/>
      <c r="N18" s="1810"/>
      <c r="O18" s="1810"/>
    </row>
    <row r="19" spans="2:15" s="254" customFormat="1">
      <c r="C19" s="255" t="s">
        <v>704</v>
      </c>
      <c r="D19" s="256" t="s">
        <v>705</v>
      </c>
      <c r="E19" s="257" t="s">
        <v>9</v>
      </c>
      <c r="H19" s="255" t="s">
        <v>704</v>
      </c>
      <c r="I19" s="256" t="s">
        <v>705</v>
      </c>
      <c r="J19" s="257" t="s">
        <v>9</v>
      </c>
      <c r="M19" s="255" t="s">
        <v>704</v>
      </c>
      <c r="N19" s="256" t="s">
        <v>1231</v>
      </c>
      <c r="O19" s="257" t="s">
        <v>9</v>
      </c>
    </row>
    <row r="20" spans="2:15" s="173" customFormat="1" ht="24">
      <c r="B20" s="258" t="s">
        <v>264</v>
      </c>
      <c r="C20" s="267"/>
      <c r="D20" s="268"/>
      <c r="E20" s="260" t="s">
        <v>604</v>
      </c>
      <c r="G20" s="258" t="s">
        <v>264</v>
      </c>
      <c r="H20" s="251" t="s">
        <v>604</v>
      </c>
      <c r="I20" s="251" t="s">
        <v>604</v>
      </c>
      <c r="J20" s="260" t="s">
        <v>604</v>
      </c>
      <c r="L20" s="258" t="s">
        <v>264</v>
      </c>
      <c r="M20" s="251" t="s">
        <v>604</v>
      </c>
      <c r="N20" s="251" t="s">
        <v>604</v>
      </c>
      <c r="O20" s="260" t="s">
        <v>604</v>
      </c>
    </row>
    <row r="21" spans="2:15" s="173" customFormat="1">
      <c r="B21" s="261" t="s">
        <v>265</v>
      </c>
      <c r="C21" s="251" t="s">
        <v>604</v>
      </c>
      <c r="D21" s="270"/>
      <c r="E21" s="260" t="s">
        <v>604</v>
      </c>
      <c r="G21" s="261" t="s">
        <v>265</v>
      </c>
      <c r="H21" s="251" t="s">
        <v>604</v>
      </c>
      <c r="I21" s="270"/>
      <c r="J21" s="260" t="s">
        <v>604</v>
      </c>
      <c r="L21" s="261" t="s">
        <v>265</v>
      </c>
      <c r="M21" s="251" t="s">
        <v>604</v>
      </c>
      <c r="N21" s="251" t="s">
        <v>604</v>
      </c>
      <c r="O21" s="260" t="s">
        <v>604</v>
      </c>
    </row>
    <row r="22" spans="2:15" s="173" customFormat="1" ht="24">
      <c r="B22" s="263" t="s">
        <v>4</v>
      </c>
      <c r="C22" s="271"/>
      <c r="D22" s="272"/>
      <c r="E22" s="260" t="s">
        <v>604</v>
      </c>
      <c r="G22" s="263" t="s">
        <v>4</v>
      </c>
      <c r="H22" s="251" t="s">
        <v>604</v>
      </c>
      <c r="I22" s="251" t="s">
        <v>604</v>
      </c>
      <c r="J22" s="260" t="s">
        <v>604</v>
      </c>
      <c r="L22" s="263" t="s">
        <v>4</v>
      </c>
      <c r="M22" s="251" t="s">
        <v>604</v>
      </c>
      <c r="N22" s="251" t="s">
        <v>604</v>
      </c>
      <c r="O22" s="260" t="s">
        <v>604</v>
      </c>
    </row>
    <row r="24" spans="2:15">
      <c r="L24" s="1809" t="s">
        <v>1187</v>
      </c>
      <c r="M24" s="1809"/>
      <c r="N24" s="1809"/>
      <c r="O24" s="1809"/>
    </row>
    <row r="25" spans="2:15">
      <c r="L25" s="246"/>
      <c r="M25" s="247" t="s">
        <v>704</v>
      </c>
      <c r="N25" s="256" t="s">
        <v>1231</v>
      </c>
      <c r="O25" s="248" t="s">
        <v>9</v>
      </c>
    </row>
    <row r="26" spans="2:15">
      <c r="L26" s="249" t="s">
        <v>264</v>
      </c>
      <c r="M26" s="251" t="s">
        <v>604</v>
      </c>
      <c r="N26" s="251" t="s">
        <v>604</v>
      </c>
      <c r="O26" s="260" t="s">
        <v>604</v>
      </c>
    </row>
    <row r="27" spans="2:15">
      <c r="L27" s="250" t="s">
        <v>265</v>
      </c>
      <c r="M27" s="251" t="s">
        <v>604</v>
      </c>
      <c r="N27" s="251" t="s">
        <v>604</v>
      </c>
      <c r="O27" s="260" t="s">
        <v>604</v>
      </c>
    </row>
    <row r="28" spans="2:15">
      <c r="L28" s="252" t="s">
        <v>4</v>
      </c>
      <c r="M28" s="251" t="s">
        <v>604</v>
      </c>
      <c r="N28" s="251" t="s">
        <v>604</v>
      </c>
      <c r="O28" s="260" t="s">
        <v>604</v>
      </c>
    </row>
    <row r="29" spans="2:15">
      <c r="B29" s="22" t="s">
        <v>1232</v>
      </c>
      <c r="C29" s="22" t="s">
        <v>1233</v>
      </c>
    </row>
    <row r="31" spans="2:15">
      <c r="B31" s="22" t="s">
        <v>707</v>
      </c>
    </row>
    <row r="32" spans="2:15">
      <c r="B32" s="22" t="s">
        <v>1226</v>
      </c>
      <c r="C32" s="22" t="s">
        <v>1229</v>
      </c>
    </row>
    <row r="33" spans="2:3">
      <c r="B33" s="22" t="s">
        <v>1227</v>
      </c>
      <c r="C33" s="22" t="s">
        <v>1228</v>
      </c>
    </row>
    <row r="34" spans="2:3">
      <c r="B34" s="22" t="s">
        <v>604</v>
      </c>
      <c r="C34" s="22" t="s">
        <v>1230</v>
      </c>
    </row>
    <row r="35" spans="2:3">
      <c r="B35" s="22" t="s">
        <v>618</v>
      </c>
      <c r="C35" s="22" t="s">
        <v>708</v>
      </c>
    </row>
    <row r="36" spans="2:3">
      <c r="C36" s="22" t="s">
        <v>709</v>
      </c>
    </row>
    <row r="37" spans="2:3">
      <c r="C37" s="22" t="s">
        <v>710</v>
      </c>
    </row>
  </sheetData>
  <mergeCells count="16">
    <mergeCell ref="L24:O24"/>
    <mergeCell ref="B18:E18"/>
    <mergeCell ref="G18:J18"/>
    <mergeCell ref="L18:O18"/>
    <mergeCell ref="B1:E2"/>
    <mergeCell ref="G1:J2"/>
    <mergeCell ref="B4:E4"/>
    <mergeCell ref="G4:J4"/>
    <mergeCell ref="L4:O4"/>
    <mergeCell ref="L1:O2"/>
    <mergeCell ref="B6:E6"/>
    <mergeCell ref="G6:J6"/>
    <mergeCell ref="L6:O6"/>
    <mergeCell ref="B12:E12"/>
    <mergeCell ref="G12:J12"/>
    <mergeCell ref="L12:O12"/>
  </mergeCells>
  <pageMargins left="0.11811023622047245" right="0.11811023622047245" top="0.35433070866141736" bottom="0.35433070866141736" header="0.31496062992125984" footer="0.31496062992125984"/>
  <pageSetup paperSize="9" scale="78"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B1:R36"/>
  <sheetViews>
    <sheetView workbookViewId="0">
      <selection activeCell="U13" sqref="U13"/>
    </sheetView>
  </sheetViews>
  <sheetFormatPr defaultColWidth="8.85546875" defaultRowHeight="12.75"/>
  <cols>
    <col min="1" max="1" width="3" style="1535" customWidth="1"/>
    <col min="2" max="2" width="8.140625" style="1535" customWidth="1"/>
    <col min="3" max="3" width="19" style="1535" customWidth="1"/>
    <col min="4" max="4" width="10.7109375" style="1535" customWidth="1"/>
    <col min="5" max="5" width="1.28515625" style="1535" customWidth="1"/>
    <col min="6" max="8" width="13.7109375" style="1535" customWidth="1"/>
    <col min="9" max="9" width="1" style="1535" customWidth="1"/>
    <col min="10" max="12" width="13.7109375" style="1535" customWidth="1"/>
    <col min="13" max="13" width="0.85546875" style="1535" customWidth="1"/>
    <col min="14" max="16" width="13.7109375" style="1535" customWidth="1"/>
    <col min="17" max="16384" width="8.85546875" style="1535"/>
  </cols>
  <sheetData>
    <row r="1" spans="2:18" ht="13.15" customHeight="1">
      <c r="C1" s="1556"/>
      <c r="D1" s="1556"/>
      <c r="E1" s="1556"/>
      <c r="F1" s="1827" t="s">
        <v>680</v>
      </c>
      <c r="G1" s="1827"/>
      <c r="H1" s="1827"/>
      <c r="J1" s="1826" t="s">
        <v>681</v>
      </c>
      <c r="K1" s="1826"/>
      <c r="L1" s="1826"/>
      <c r="N1" s="1826" t="s">
        <v>682</v>
      </c>
      <c r="O1" s="1826"/>
      <c r="P1" s="1826"/>
      <c r="Q1" s="1556"/>
    </row>
    <row r="2" spans="2:18">
      <c r="B2" s="1556"/>
      <c r="C2" s="1556"/>
      <c r="D2" s="1556"/>
      <c r="E2" s="1556"/>
      <c r="F2" s="1557"/>
      <c r="G2" s="1557"/>
      <c r="H2" s="1557"/>
      <c r="J2" s="1557"/>
      <c r="K2" s="1557"/>
      <c r="L2" s="1557"/>
      <c r="N2" s="1557"/>
      <c r="O2" s="1557"/>
      <c r="P2" s="1557"/>
      <c r="Q2" s="1556"/>
    </row>
    <row r="3" spans="2:18" s="1558" customFormat="1">
      <c r="C3" s="1559" t="s">
        <v>208</v>
      </c>
      <c r="D3" s="1559" t="s">
        <v>904</v>
      </c>
      <c r="E3" s="1579"/>
      <c r="F3" s="1576" t="s">
        <v>704</v>
      </c>
      <c r="G3" s="1577" t="s">
        <v>705</v>
      </c>
      <c r="H3" s="1578" t="s">
        <v>9</v>
      </c>
      <c r="I3" s="1560"/>
      <c r="J3" s="1576" t="s">
        <v>704</v>
      </c>
      <c r="K3" s="1577" t="s">
        <v>705</v>
      </c>
      <c r="L3" s="1578" t="s">
        <v>9</v>
      </c>
      <c r="M3" s="1560"/>
      <c r="N3" s="1576" t="s">
        <v>704</v>
      </c>
      <c r="O3" s="1577" t="s">
        <v>705</v>
      </c>
      <c r="P3" s="1578" t="s">
        <v>9</v>
      </c>
    </row>
    <row r="4" spans="2:18" ht="13.15" customHeight="1">
      <c r="B4" s="1828" t="s">
        <v>264</v>
      </c>
      <c r="C4" s="1561" t="s">
        <v>571</v>
      </c>
      <c r="D4" s="1562" t="s">
        <v>712</v>
      </c>
      <c r="E4" s="1580"/>
      <c r="F4" s="1822" t="s">
        <v>1235</v>
      </c>
      <c r="G4" s="1822"/>
      <c r="H4" s="1823"/>
      <c r="J4" s="1822" t="s">
        <v>1235</v>
      </c>
      <c r="K4" s="1824"/>
      <c r="L4" s="1825"/>
      <c r="N4" s="1822" t="s">
        <v>1235</v>
      </c>
      <c r="O4" s="1824"/>
      <c r="P4" s="1825"/>
      <c r="Q4" s="1564"/>
      <c r="R4" s="1564"/>
    </row>
    <row r="5" spans="2:18" ht="13.15" customHeight="1">
      <c r="B5" s="1828"/>
      <c r="C5" s="1561" t="s">
        <v>572</v>
      </c>
      <c r="D5" s="1562" t="s">
        <v>712</v>
      </c>
      <c r="E5" s="1580"/>
      <c r="F5" s="1822" t="s">
        <v>1236</v>
      </c>
      <c r="G5" s="1822"/>
      <c r="H5" s="1823"/>
      <c r="J5" s="1822" t="s">
        <v>1236</v>
      </c>
      <c r="K5" s="1824"/>
      <c r="L5" s="1825"/>
      <c r="N5" s="1822" t="s">
        <v>1236</v>
      </c>
      <c r="O5" s="1824"/>
      <c r="P5" s="1825"/>
      <c r="Q5" s="1564"/>
      <c r="R5" s="1564"/>
    </row>
    <row r="6" spans="2:18">
      <c r="B6" s="1828"/>
      <c r="C6" s="1565" t="s">
        <v>573</v>
      </c>
      <c r="D6" s="1563" t="s">
        <v>712</v>
      </c>
      <c r="E6" s="1580"/>
      <c r="F6" s="1563" t="s">
        <v>616</v>
      </c>
      <c r="G6" s="1563" t="s">
        <v>616</v>
      </c>
      <c r="H6" s="1566" t="s">
        <v>616</v>
      </c>
      <c r="J6" s="1563" t="s">
        <v>1241</v>
      </c>
      <c r="K6" s="1563" t="s">
        <v>1241</v>
      </c>
      <c r="L6" s="1566" t="s">
        <v>616</v>
      </c>
      <c r="N6" s="1563" t="s">
        <v>1241</v>
      </c>
      <c r="O6" s="1563" t="s">
        <v>1242</v>
      </c>
      <c r="P6" s="1566" t="s">
        <v>616</v>
      </c>
      <c r="Q6" s="1564"/>
      <c r="R6" s="1564"/>
    </row>
    <row r="7" spans="2:18">
      <c r="B7" s="1828"/>
      <c r="C7" s="1565" t="s">
        <v>1238</v>
      </c>
      <c r="D7" s="1563" t="s">
        <v>712</v>
      </c>
      <c r="E7" s="1580"/>
      <c r="F7" s="1563" t="s">
        <v>1239</v>
      </c>
      <c r="G7" s="1563" t="s">
        <v>616</v>
      </c>
      <c r="H7" s="1567"/>
      <c r="J7" s="1563" t="s">
        <v>1239</v>
      </c>
      <c r="K7" s="1563" t="s">
        <v>1239</v>
      </c>
      <c r="L7" s="1567"/>
      <c r="N7" s="1563" t="s">
        <v>1239</v>
      </c>
      <c r="O7" s="1563" t="s">
        <v>1239</v>
      </c>
      <c r="P7" s="1567"/>
      <c r="Q7" s="1564"/>
      <c r="R7" s="1564"/>
    </row>
    <row r="8" spans="2:18">
      <c r="B8" s="1828"/>
      <c r="C8" s="1565" t="s">
        <v>575</v>
      </c>
      <c r="D8" s="1563" t="s">
        <v>712</v>
      </c>
      <c r="E8" s="1580"/>
      <c r="F8" s="1563" t="s">
        <v>1239</v>
      </c>
      <c r="G8" s="1563" t="s">
        <v>616</v>
      </c>
      <c r="H8" s="1567"/>
      <c r="J8" s="1563" t="s">
        <v>616</v>
      </c>
      <c r="K8" s="1563" t="s">
        <v>616</v>
      </c>
      <c r="L8" s="1567"/>
      <c r="N8" s="1563" t="s">
        <v>1239</v>
      </c>
      <c r="O8" s="1563" t="s">
        <v>1239</v>
      </c>
      <c r="P8" s="1567"/>
      <c r="Q8" s="1564"/>
      <c r="R8" s="1564"/>
    </row>
    <row r="9" spans="2:18">
      <c r="B9" s="1828"/>
      <c r="C9" s="1565" t="s">
        <v>1243</v>
      </c>
      <c r="D9" s="1563" t="s">
        <v>712</v>
      </c>
      <c r="E9" s="1580"/>
      <c r="F9" s="1563" t="s">
        <v>616</v>
      </c>
      <c r="G9" s="1563" t="s">
        <v>616</v>
      </c>
      <c r="H9" s="1566" t="s">
        <v>616</v>
      </c>
      <c r="J9" s="1563" t="s">
        <v>616</v>
      </c>
      <c r="K9" s="1563" t="s">
        <v>616</v>
      </c>
      <c r="L9" s="1566" t="s">
        <v>616</v>
      </c>
      <c r="N9" s="1563" t="s">
        <v>1239</v>
      </c>
      <c r="O9" s="1563" t="s">
        <v>1239</v>
      </c>
      <c r="P9" s="1566" t="s">
        <v>616</v>
      </c>
      <c r="Q9" s="1564"/>
      <c r="R9" s="1564"/>
    </row>
    <row r="10" spans="2:18" ht="13.15" customHeight="1">
      <c r="B10" s="1828"/>
      <c r="C10" s="1565" t="s">
        <v>906</v>
      </c>
      <c r="D10" s="1563" t="s">
        <v>711</v>
      </c>
      <c r="E10" s="1580"/>
      <c r="F10" s="1820" t="s">
        <v>9</v>
      </c>
      <c r="G10" s="1821"/>
      <c r="H10" s="1567" t="s">
        <v>615</v>
      </c>
      <c r="J10" s="1820" t="s">
        <v>9</v>
      </c>
      <c r="K10" s="1821"/>
      <c r="L10" s="1567" t="s">
        <v>615</v>
      </c>
      <c r="N10" s="1820" t="s">
        <v>9</v>
      </c>
      <c r="O10" s="1821"/>
      <c r="P10" s="1567" t="s">
        <v>615</v>
      </c>
      <c r="Q10" s="1564"/>
      <c r="R10" s="1564"/>
    </row>
    <row r="11" spans="2:18">
      <c r="B11" s="1828" t="s">
        <v>265</v>
      </c>
      <c r="C11" s="1561" t="s">
        <v>571</v>
      </c>
      <c r="D11" s="1562" t="s">
        <v>712</v>
      </c>
      <c r="E11" s="1580"/>
      <c r="F11" s="1822" t="s">
        <v>1235</v>
      </c>
      <c r="G11" s="1822"/>
      <c r="H11" s="1823"/>
      <c r="J11" s="1822" t="s">
        <v>1235</v>
      </c>
      <c r="K11" s="1824"/>
      <c r="L11" s="1825"/>
      <c r="N11" s="1822" t="s">
        <v>1235</v>
      </c>
      <c r="O11" s="1824"/>
      <c r="P11" s="1825"/>
      <c r="Q11" s="1564"/>
      <c r="R11" s="1564"/>
    </row>
    <row r="12" spans="2:18">
      <c r="B12" s="1828"/>
      <c r="C12" s="1561" t="s">
        <v>572</v>
      </c>
      <c r="D12" s="1562" t="s">
        <v>712</v>
      </c>
      <c r="E12" s="1580"/>
      <c r="F12" s="1822" t="s">
        <v>1236</v>
      </c>
      <c r="G12" s="1822"/>
      <c r="H12" s="1823"/>
      <c r="J12" s="1822" t="s">
        <v>1236</v>
      </c>
      <c r="K12" s="1824"/>
      <c r="L12" s="1825"/>
      <c r="N12" s="1822" t="s">
        <v>1236</v>
      </c>
      <c r="O12" s="1824"/>
      <c r="P12" s="1825"/>
      <c r="Q12" s="1564"/>
      <c r="R12" s="1564"/>
    </row>
    <row r="13" spans="2:18">
      <c r="B13" s="1828"/>
      <c r="C13" s="1565" t="s">
        <v>573</v>
      </c>
      <c r="D13" s="1563" t="s">
        <v>712</v>
      </c>
      <c r="E13" s="1580"/>
      <c r="F13" s="1563" t="s">
        <v>616</v>
      </c>
      <c r="G13" s="1563" t="s">
        <v>616</v>
      </c>
      <c r="H13" s="1566" t="s">
        <v>616</v>
      </c>
      <c r="J13" s="1563" t="s">
        <v>1241</v>
      </c>
      <c r="K13" s="1563" t="s">
        <v>1241</v>
      </c>
      <c r="L13" s="1566" t="s">
        <v>616</v>
      </c>
      <c r="N13" s="1563" t="s">
        <v>1241</v>
      </c>
      <c r="O13" s="1563" t="s">
        <v>1242</v>
      </c>
      <c r="P13" s="1566" t="s">
        <v>616</v>
      </c>
      <c r="Q13" s="1564"/>
      <c r="R13" s="1564"/>
    </row>
    <row r="14" spans="2:18">
      <c r="B14" s="1828"/>
      <c r="C14" s="1565" t="s">
        <v>1238</v>
      </c>
      <c r="D14" s="1563" t="s">
        <v>712</v>
      </c>
      <c r="E14" s="1580"/>
      <c r="F14" s="1563" t="s">
        <v>1240</v>
      </c>
      <c r="G14" s="1563" t="s">
        <v>616</v>
      </c>
      <c r="H14" s="1567"/>
      <c r="J14" s="1563" t="s">
        <v>1240</v>
      </c>
      <c r="K14" s="1563" t="s">
        <v>1239</v>
      </c>
      <c r="L14" s="1567"/>
      <c r="N14" s="1563" t="s">
        <v>1240</v>
      </c>
      <c r="O14" s="1563" t="s">
        <v>1239</v>
      </c>
      <c r="P14" s="1567"/>
      <c r="Q14" s="1564"/>
      <c r="R14" s="1564"/>
    </row>
    <row r="15" spans="2:18">
      <c r="B15" s="1828"/>
      <c r="C15" s="1565" t="s">
        <v>575</v>
      </c>
      <c r="D15" s="1563" t="s">
        <v>712</v>
      </c>
      <c r="E15" s="1580"/>
      <c r="F15" s="1563" t="s">
        <v>1239</v>
      </c>
      <c r="G15" s="1563" t="s">
        <v>616</v>
      </c>
      <c r="H15" s="1567"/>
      <c r="J15" s="1563" t="s">
        <v>616</v>
      </c>
      <c r="K15" s="1563" t="s">
        <v>616</v>
      </c>
      <c r="L15" s="1567"/>
      <c r="N15" s="1563" t="s">
        <v>1239</v>
      </c>
      <c r="O15" s="1563" t="s">
        <v>1239</v>
      </c>
      <c r="P15" s="1567"/>
      <c r="Q15" s="1564"/>
      <c r="R15" s="1564"/>
    </row>
    <row r="16" spans="2:18">
      <c r="B16" s="1828"/>
      <c r="C16" s="1565" t="s">
        <v>1243</v>
      </c>
      <c r="D16" s="1563" t="s">
        <v>712</v>
      </c>
      <c r="E16" s="1580"/>
      <c r="F16" s="1563" t="s">
        <v>1240</v>
      </c>
      <c r="G16" s="1563" t="s">
        <v>616</v>
      </c>
      <c r="H16" s="1566" t="s">
        <v>616</v>
      </c>
      <c r="J16" s="1563" t="s">
        <v>616</v>
      </c>
      <c r="K16" s="1563" t="s">
        <v>616</v>
      </c>
      <c r="L16" s="1566" t="s">
        <v>616</v>
      </c>
      <c r="N16" s="1563" t="s">
        <v>1240</v>
      </c>
      <c r="O16" s="1563" t="s">
        <v>1239</v>
      </c>
      <c r="P16" s="1566" t="s">
        <v>616</v>
      </c>
      <c r="Q16" s="1564"/>
      <c r="R16" s="1564"/>
    </row>
    <row r="17" spans="2:18">
      <c r="B17" s="1828"/>
      <c r="C17" s="1565" t="s">
        <v>906</v>
      </c>
      <c r="D17" s="1563"/>
      <c r="E17" s="1580"/>
      <c r="F17" s="1820" t="s">
        <v>9</v>
      </c>
      <c r="G17" s="1821"/>
      <c r="H17" s="1567" t="s">
        <v>615</v>
      </c>
      <c r="J17" s="1820" t="s">
        <v>9</v>
      </c>
      <c r="K17" s="1821"/>
      <c r="L17" s="1567" t="s">
        <v>615</v>
      </c>
      <c r="N17" s="1820" t="s">
        <v>9</v>
      </c>
      <c r="O17" s="1821"/>
      <c r="P17" s="1567" t="s">
        <v>615</v>
      </c>
      <c r="Q17" s="1564"/>
      <c r="R17" s="1564"/>
    </row>
    <row r="18" spans="2:18">
      <c r="B18" s="1828" t="s">
        <v>4</v>
      </c>
      <c r="C18" s="1561" t="s">
        <v>571</v>
      </c>
      <c r="D18" s="1572" t="s">
        <v>1234</v>
      </c>
      <c r="E18" s="1580"/>
      <c r="F18" s="1822" t="s">
        <v>1237</v>
      </c>
      <c r="G18" s="1822"/>
      <c r="H18" s="1823"/>
      <c r="J18" s="1822" t="s">
        <v>1237</v>
      </c>
      <c r="K18" s="1824"/>
      <c r="L18" s="1825"/>
      <c r="N18" s="1822" t="s">
        <v>1237</v>
      </c>
      <c r="O18" s="1824"/>
      <c r="P18" s="1825"/>
      <c r="Q18" s="1564"/>
      <c r="R18" s="1564"/>
    </row>
    <row r="19" spans="2:18">
      <c r="B19" s="1828"/>
      <c r="C19" s="1561" t="s">
        <v>572</v>
      </c>
      <c r="D19" s="1572" t="s">
        <v>1234</v>
      </c>
      <c r="E19" s="1580"/>
      <c r="F19" s="1822" t="s">
        <v>1236</v>
      </c>
      <c r="G19" s="1822"/>
      <c r="H19" s="1823"/>
      <c r="J19" s="1822" t="s">
        <v>1236</v>
      </c>
      <c r="K19" s="1824"/>
      <c r="L19" s="1825"/>
      <c r="N19" s="1822" t="s">
        <v>1236</v>
      </c>
      <c r="O19" s="1824"/>
      <c r="P19" s="1825"/>
      <c r="Q19" s="1564"/>
      <c r="R19" s="1564"/>
    </row>
    <row r="20" spans="2:18">
      <c r="B20" s="1828"/>
      <c r="C20" s="1565" t="s">
        <v>573</v>
      </c>
      <c r="D20" s="1573" t="s">
        <v>1234</v>
      </c>
      <c r="E20" s="1580"/>
      <c r="F20" s="1563" t="s">
        <v>616</v>
      </c>
      <c r="G20" s="1563" t="s">
        <v>616</v>
      </c>
      <c r="H20" s="1566" t="s">
        <v>616</v>
      </c>
      <c r="J20" s="1563" t="s">
        <v>1241</v>
      </c>
      <c r="K20" s="1563" t="s">
        <v>1241</v>
      </c>
      <c r="L20" s="1566" t="s">
        <v>616</v>
      </c>
      <c r="N20" s="1563" t="s">
        <v>1241</v>
      </c>
      <c r="O20" s="1563" t="s">
        <v>1242</v>
      </c>
      <c r="P20" s="1566" t="s">
        <v>616</v>
      </c>
      <c r="Q20" s="1564"/>
      <c r="R20" s="1564"/>
    </row>
    <row r="21" spans="2:18">
      <c r="B21" s="1828"/>
      <c r="C21" s="1565" t="s">
        <v>574</v>
      </c>
      <c r="D21" s="1573" t="s">
        <v>1234</v>
      </c>
      <c r="E21" s="1580"/>
      <c r="F21" s="1563" t="s">
        <v>1239</v>
      </c>
      <c r="G21" s="1563" t="s">
        <v>616</v>
      </c>
      <c r="H21" s="1567"/>
      <c r="J21" s="1563" t="s">
        <v>1239</v>
      </c>
      <c r="K21" s="1563" t="s">
        <v>1239</v>
      </c>
      <c r="L21" s="1567"/>
      <c r="N21" s="1563" t="s">
        <v>1239</v>
      </c>
      <c r="O21" s="1563" t="s">
        <v>1239</v>
      </c>
      <c r="P21" s="1567"/>
      <c r="Q21" s="1564"/>
      <c r="R21" s="1564"/>
    </row>
    <row r="22" spans="2:18">
      <c r="B22" s="1828"/>
      <c r="C22" s="1565" t="s">
        <v>575</v>
      </c>
      <c r="D22" s="1573" t="s">
        <v>1234</v>
      </c>
      <c r="E22" s="1580"/>
      <c r="F22" s="1563" t="s">
        <v>1239</v>
      </c>
      <c r="G22" s="1563" t="s">
        <v>616</v>
      </c>
      <c r="H22" s="1567"/>
      <c r="J22" s="1563" t="s">
        <v>616</v>
      </c>
      <c r="K22" s="1563" t="s">
        <v>616</v>
      </c>
      <c r="L22" s="1567"/>
      <c r="N22" s="1563" t="s">
        <v>1239</v>
      </c>
      <c r="O22" s="1563" t="s">
        <v>1239</v>
      </c>
      <c r="P22" s="1567"/>
      <c r="Q22" s="1564"/>
      <c r="R22" s="1564"/>
    </row>
    <row r="23" spans="2:18">
      <c r="B23" s="1828"/>
      <c r="C23" s="1565" t="s">
        <v>1243</v>
      </c>
      <c r="D23" s="1573" t="s">
        <v>1234</v>
      </c>
      <c r="E23" s="1580"/>
      <c r="F23" s="1563" t="s">
        <v>616</v>
      </c>
      <c r="G23" s="1563" t="s">
        <v>616</v>
      </c>
      <c r="H23" s="1566" t="s">
        <v>616</v>
      </c>
      <c r="J23" s="1563" t="s">
        <v>616</v>
      </c>
      <c r="K23" s="1563" t="s">
        <v>616</v>
      </c>
      <c r="L23" s="1566" t="s">
        <v>616</v>
      </c>
      <c r="N23" s="1563" t="s">
        <v>1239</v>
      </c>
      <c r="O23" s="1563" t="s">
        <v>1239</v>
      </c>
      <c r="P23" s="1566" t="s">
        <v>616</v>
      </c>
      <c r="Q23" s="1564"/>
      <c r="R23" s="1564"/>
    </row>
    <row r="24" spans="2:18">
      <c r="B24" s="1829"/>
      <c r="C24" s="1574" t="s">
        <v>906</v>
      </c>
      <c r="D24" s="1575" t="s">
        <v>905</v>
      </c>
      <c r="E24" s="1580"/>
      <c r="F24" s="1820" t="s">
        <v>9</v>
      </c>
      <c r="G24" s="1821"/>
      <c r="H24" s="1566" t="s">
        <v>615</v>
      </c>
      <c r="J24" s="1820" t="s">
        <v>9</v>
      </c>
      <c r="K24" s="1821"/>
      <c r="L24" s="1566" t="s">
        <v>615</v>
      </c>
      <c r="N24" s="1820" t="s">
        <v>9</v>
      </c>
      <c r="O24" s="1821"/>
      <c r="P24" s="1566" t="s">
        <v>615</v>
      </c>
      <c r="Q24" s="1564"/>
      <c r="R24" s="1564"/>
    </row>
    <row r="26" spans="2:18" ht="13.15" customHeight="1">
      <c r="C26" s="1568" t="s">
        <v>571</v>
      </c>
      <c r="D26" s="1569" t="s">
        <v>1248</v>
      </c>
      <c r="E26" s="1569"/>
      <c r="F26" s="1569"/>
      <c r="G26" s="1569"/>
      <c r="H26" s="1569"/>
      <c r="I26" s="1569"/>
      <c r="J26" s="1569"/>
      <c r="K26" s="1569"/>
      <c r="L26" s="1569"/>
      <c r="M26" s="1569"/>
      <c r="N26" s="1569"/>
      <c r="O26" s="1569"/>
      <c r="P26" s="1569"/>
    </row>
    <row r="27" spans="2:18">
      <c r="C27" s="1568" t="s">
        <v>572</v>
      </c>
      <c r="D27" s="1569" t="s">
        <v>1248</v>
      </c>
      <c r="E27" s="1569"/>
      <c r="F27" s="1569"/>
      <c r="G27" s="1569"/>
      <c r="H27" s="1569"/>
      <c r="I27" s="1569"/>
      <c r="J27" s="1569"/>
      <c r="K27" s="1569"/>
      <c r="L27" s="1569"/>
      <c r="M27" s="1569"/>
      <c r="N27" s="1569"/>
      <c r="O27" s="1569"/>
      <c r="P27" s="1569"/>
    </row>
    <row r="29" spans="2:18">
      <c r="C29" s="1535" t="s">
        <v>707</v>
      </c>
    </row>
    <row r="30" spans="2:18">
      <c r="C30" s="1570" t="s">
        <v>1241</v>
      </c>
      <c r="D30" s="1535" t="s">
        <v>1247</v>
      </c>
    </row>
    <row r="31" spans="2:18">
      <c r="C31" s="1570" t="s">
        <v>1244</v>
      </c>
      <c r="D31" s="1535" t="s">
        <v>1246</v>
      </c>
    </row>
    <row r="32" spans="2:18">
      <c r="C32" s="1570" t="s">
        <v>1238</v>
      </c>
      <c r="D32" s="1535" t="s">
        <v>1251</v>
      </c>
    </row>
    <row r="33" spans="3:5">
      <c r="C33" s="1570" t="s">
        <v>575</v>
      </c>
      <c r="D33" s="1535" t="s">
        <v>1245</v>
      </c>
    </row>
    <row r="34" spans="3:5">
      <c r="C34" s="1570" t="s">
        <v>1243</v>
      </c>
      <c r="D34" s="1535" t="s">
        <v>1250</v>
      </c>
    </row>
    <row r="35" spans="3:5">
      <c r="C35" s="1571" t="s">
        <v>906</v>
      </c>
      <c r="D35" s="1535" t="s">
        <v>1249</v>
      </c>
      <c r="E35" s="1581"/>
    </row>
    <row r="36" spans="3:5">
      <c r="E36" s="1581"/>
    </row>
  </sheetData>
  <mergeCells count="33">
    <mergeCell ref="F10:G10"/>
    <mergeCell ref="J1:L1"/>
    <mergeCell ref="N1:P1"/>
    <mergeCell ref="F1:H1"/>
    <mergeCell ref="B18:B24"/>
    <mergeCell ref="B4:B10"/>
    <mergeCell ref="B11:B17"/>
    <mergeCell ref="F4:H4"/>
    <mergeCell ref="F5:H5"/>
    <mergeCell ref="F11:H11"/>
    <mergeCell ref="F12:H12"/>
    <mergeCell ref="F18:H18"/>
    <mergeCell ref="J12:L12"/>
    <mergeCell ref="N11:P11"/>
    <mergeCell ref="N12:P12"/>
    <mergeCell ref="J18:L18"/>
    <mergeCell ref="J4:L4"/>
    <mergeCell ref="J5:L5"/>
    <mergeCell ref="N4:P4"/>
    <mergeCell ref="N5:P5"/>
    <mergeCell ref="J11:L11"/>
    <mergeCell ref="J10:K10"/>
    <mergeCell ref="N10:O10"/>
    <mergeCell ref="F24:G24"/>
    <mergeCell ref="J24:K24"/>
    <mergeCell ref="N24:O24"/>
    <mergeCell ref="N17:O17"/>
    <mergeCell ref="J17:K17"/>
    <mergeCell ref="F19:H19"/>
    <mergeCell ref="F17:G17"/>
    <mergeCell ref="J19:L19"/>
    <mergeCell ref="N18:P18"/>
    <mergeCell ref="N19:P19"/>
  </mergeCells>
  <pageMargins left="0.11811023622047245" right="0.11811023622047245" top="0.35433070866141736" bottom="0.35433070866141736" header="0.31496062992125984" footer="0.31496062992125984"/>
  <pageSetup paperSize="9" scale="79" orientation="landscape"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AJ219"/>
  <sheetViews>
    <sheetView zoomScaleNormal="100" workbookViewId="0">
      <pane xSplit="5" ySplit="3" topLeftCell="F28" activePane="bottomRight" state="frozen"/>
      <selection pane="topRight" activeCell="G1" sqref="G1"/>
      <selection pane="bottomLeft" activeCell="A3" sqref="A3"/>
      <selection pane="bottomRight" activeCell="D27" sqref="D27"/>
    </sheetView>
  </sheetViews>
  <sheetFormatPr defaultColWidth="8.85546875" defaultRowHeight="12" outlineLevelRow="1"/>
  <cols>
    <col min="1" max="1" width="3.28515625" style="22" customWidth="1"/>
    <col min="2" max="2" width="6.140625" style="22" customWidth="1"/>
    <col min="3" max="3" width="18.7109375" style="22" customWidth="1"/>
    <col min="4" max="4" width="25.28515625" style="22" bestFit="1" customWidth="1"/>
    <col min="5" max="5" width="6.7109375" style="22" customWidth="1"/>
    <col min="6" max="16" width="15.7109375" style="46" customWidth="1"/>
    <col min="17" max="17" width="12.140625" style="22" customWidth="1"/>
    <col min="18" max="20" width="16.140625" style="22" customWidth="1"/>
    <col min="21" max="21" width="7.7109375" style="1601" customWidth="1"/>
    <col min="22" max="22" width="16" style="1601" customWidth="1"/>
    <col min="23" max="23" width="15.5703125" style="1601" customWidth="1"/>
    <col min="24" max="24" width="16.140625" style="22" customWidth="1"/>
    <col min="25" max="25" width="7.7109375" style="1601" customWidth="1"/>
    <col min="26" max="26" width="16.140625" style="22" customWidth="1"/>
    <col min="27" max="27" width="7.7109375" style="1601" customWidth="1"/>
    <col min="28" max="28" width="12.42578125" style="22" customWidth="1"/>
    <col min="29" max="29" width="6.42578125" style="22" bestFit="1" customWidth="1"/>
    <col min="30" max="30" width="9.28515625" style="22" customWidth="1"/>
    <col min="31" max="31" width="14.140625" style="22" bestFit="1" customWidth="1"/>
    <col min="32" max="32" width="4.42578125" style="22" customWidth="1"/>
    <col min="33" max="33" width="13.140625" style="22" customWidth="1"/>
    <col min="34" max="34" width="13.5703125" style="22" customWidth="1"/>
    <col min="35" max="35" width="14" style="22" customWidth="1"/>
    <col min="36" max="36" width="13.42578125" style="22" customWidth="1"/>
    <col min="37" max="16384" width="8.85546875" style="22"/>
  </cols>
  <sheetData>
    <row r="1" spans="1:36" ht="15.75">
      <c r="A1" s="124" t="s">
        <v>536</v>
      </c>
      <c r="R1" s="125" t="s">
        <v>534</v>
      </c>
      <c r="S1" s="125"/>
      <c r="T1" s="125"/>
    </row>
    <row r="2" spans="1:36">
      <c r="S2" s="1785">
        <f>26600000-S5</f>
        <v>5999872.6499999985</v>
      </c>
      <c r="U2" s="1602"/>
      <c r="V2" s="1602"/>
      <c r="W2" s="1602"/>
    </row>
    <row r="3" spans="1:36" s="57" customFormat="1">
      <c r="B3" s="995" t="s">
        <v>148</v>
      </c>
      <c r="C3" s="996" t="s">
        <v>6</v>
      </c>
      <c r="D3" s="995" t="s">
        <v>196</v>
      </c>
      <c r="E3" s="995" t="s">
        <v>127</v>
      </c>
      <c r="F3" s="995">
        <v>2024</v>
      </c>
      <c r="G3" s="995">
        <v>2025</v>
      </c>
      <c r="H3" s="995">
        <v>2026</v>
      </c>
      <c r="I3" s="995">
        <v>2027</v>
      </c>
      <c r="J3" s="995">
        <v>2028</v>
      </c>
      <c r="K3" s="995">
        <v>2029</v>
      </c>
      <c r="L3" s="995">
        <v>2030</v>
      </c>
      <c r="M3" s="995">
        <v>2031</v>
      </c>
      <c r="N3" s="995">
        <v>2032</v>
      </c>
      <c r="O3" s="995">
        <v>2033</v>
      </c>
      <c r="P3" s="997" t="s">
        <v>203</v>
      </c>
      <c r="R3" s="1039" t="s">
        <v>1570</v>
      </c>
      <c r="S3" s="1039"/>
      <c r="T3" s="1039"/>
      <c r="U3" s="1603" t="s">
        <v>119</v>
      </c>
      <c r="V3" s="1603" t="s">
        <v>1840</v>
      </c>
      <c r="W3" s="1603" t="s">
        <v>1841</v>
      </c>
      <c r="X3" s="1039" t="s">
        <v>1571</v>
      </c>
      <c r="Y3" s="1603" t="s">
        <v>119</v>
      </c>
      <c r="Z3" s="1039" t="s">
        <v>1612</v>
      </c>
      <c r="AA3" s="1603" t="s">
        <v>119</v>
      </c>
      <c r="AB3" s="1039" t="s">
        <v>479</v>
      </c>
      <c r="AC3" s="1039" t="s">
        <v>535</v>
      </c>
      <c r="AD3" s="1039"/>
      <c r="AE3" s="1039" t="s">
        <v>1569</v>
      </c>
      <c r="AG3" s="1603" t="s">
        <v>1840</v>
      </c>
      <c r="AH3" s="1603" t="s">
        <v>1840</v>
      </c>
      <c r="AI3" s="1603" t="s">
        <v>1841</v>
      </c>
      <c r="AJ3" s="1603" t="s">
        <v>1841</v>
      </c>
    </row>
    <row r="4" spans="1:36" s="57" customFormat="1" ht="12.75" thickBot="1">
      <c r="B4" s="1705"/>
      <c r="C4" s="1705"/>
      <c r="D4" s="1705"/>
      <c r="E4" s="1705"/>
      <c r="F4" s="1705"/>
      <c r="G4" s="1705"/>
      <c r="H4" s="1705"/>
      <c r="I4" s="1705"/>
      <c r="J4" s="1705"/>
      <c r="K4" s="1705"/>
      <c r="L4" s="1705"/>
      <c r="M4" s="1705"/>
      <c r="N4" s="1705"/>
      <c r="O4" s="1705"/>
      <c r="P4" s="1705"/>
      <c r="Q4" s="1704">
        <f>26600000-SUM(R6,R17)</f>
        <v>2274770.1499999985</v>
      </c>
      <c r="S4" s="1704" t="s">
        <v>478</v>
      </c>
      <c r="T4" s="1704" t="s">
        <v>1904</v>
      </c>
      <c r="U4" s="1601">
        <f>Q4/26600000</f>
        <v>8.5517674812030015E-2</v>
      </c>
      <c r="V4" s="1603"/>
      <c r="W4" s="1603"/>
      <c r="X4" s="1039"/>
      <c r="Y4" s="1603"/>
      <c r="Z4" s="1039"/>
      <c r="AA4" s="1603"/>
      <c r="AB4" s="1039"/>
      <c r="AC4" s="1039"/>
      <c r="AD4" s="1039"/>
      <c r="AE4" s="1039"/>
    </row>
    <row r="5" spans="1:36" customFormat="1" ht="15">
      <c r="B5" s="1030" t="s">
        <v>680</v>
      </c>
      <c r="C5" s="1031"/>
      <c r="D5" s="1031"/>
      <c r="E5" s="1031"/>
      <c r="F5" s="1719">
        <f t="shared" ref="F5:O5" si="0">SUM(F6,F17)</f>
        <v>989961.45</v>
      </c>
      <c r="G5" s="1719">
        <f t="shared" si="0"/>
        <v>10390003.949999999</v>
      </c>
      <c r="H5" s="1719">
        <f t="shared" si="0"/>
        <v>14526378.658658482</v>
      </c>
      <c r="I5" s="1719">
        <f t="shared" si="0"/>
        <v>3277461.9790517641</v>
      </c>
      <c r="J5" s="1719">
        <f t="shared" si="0"/>
        <v>3412490.8277582997</v>
      </c>
      <c r="K5" s="1719">
        <f t="shared" si="0"/>
        <v>3428489.5968727083</v>
      </c>
      <c r="L5" s="1719">
        <f t="shared" si="0"/>
        <v>4241681.7059831247</v>
      </c>
      <c r="M5" s="1719">
        <f t="shared" si="0"/>
        <v>4373517.3596928623</v>
      </c>
      <c r="N5" s="1719">
        <f t="shared" si="0"/>
        <v>4508127.5492297206</v>
      </c>
      <c r="O5" s="1719">
        <f t="shared" si="0"/>
        <v>4645648.4031450953</v>
      </c>
      <c r="P5" s="1720">
        <f>SUM(F5:O5)</f>
        <v>53793761.480392061</v>
      </c>
      <c r="Q5" s="46">
        <f>R5-S5-T5</f>
        <v>0</v>
      </c>
      <c r="R5" s="1034">
        <f>SUM(R6,R17)</f>
        <v>24325229.850000001</v>
      </c>
      <c r="S5" s="1786">
        <f>SUM(S6,S17)</f>
        <v>20600127.350000001</v>
      </c>
      <c r="T5" s="1788">
        <f>SUM(T6,T17)</f>
        <v>3725102.5</v>
      </c>
      <c r="U5" s="1600">
        <f>R5/P5</f>
        <v>0.45219425413979647</v>
      </c>
      <c r="V5" s="1697">
        <f>SUM(V6,V17)</f>
        <v>1520044.5</v>
      </c>
      <c r="W5" s="1697">
        <f>SUM(W6,W17)</f>
        <v>23361561</v>
      </c>
      <c r="X5" s="1035">
        <f>SUM(X6,X17)</f>
        <v>24881605.5</v>
      </c>
      <c r="Y5" s="1614">
        <f>X5/P5</f>
        <v>0.46253700829359923</v>
      </c>
      <c r="Z5" s="1035">
        <f>SUM(Z6,Z17)</f>
        <v>4586926.1303920578</v>
      </c>
      <c r="AA5" s="1614">
        <f>Z5/P5</f>
        <v>8.5268737566604302E-2</v>
      </c>
      <c r="AB5" s="1036">
        <f>SUM(AB7:AB35)</f>
        <v>0</v>
      </c>
      <c r="AC5" s="1037">
        <f>SUM(AC7:AC35)</f>
        <v>0</v>
      </c>
      <c r="AD5" s="1038"/>
      <c r="AE5" s="1038">
        <f>SUM(R5,X5)-P5</f>
        <v>-4586926.1303920597</v>
      </c>
      <c r="AG5" s="1790">
        <f t="shared" ref="AG5:AJ5" si="1">SUM(AG6,AG17)</f>
        <v>1326429</v>
      </c>
      <c r="AH5" s="1790">
        <f t="shared" si="1"/>
        <v>193615.5</v>
      </c>
      <c r="AI5" s="1790">
        <f t="shared" si="1"/>
        <v>20211769</v>
      </c>
      <c r="AJ5" s="1790">
        <f t="shared" si="1"/>
        <v>3149792</v>
      </c>
    </row>
    <row r="6" spans="1:36">
      <c r="B6" s="998" t="s">
        <v>1370</v>
      </c>
      <c r="C6" s="999"/>
      <c r="D6" s="999"/>
      <c r="E6" s="999"/>
      <c r="F6" s="1721">
        <f t="shared" ref="F6:O6" si="2">SUM(F7,F12,F15)</f>
        <v>0</v>
      </c>
      <c r="G6" s="1721">
        <f t="shared" si="2"/>
        <v>4372704</v>
      </c>
      <c r="H6" s="1721">
        <f t="shared" si="2"/>
        <v>8955072</v>
      </c>
      <c r="I6" s="1721">
        <f t="shared" si="2"/>
        <v>0</v>
      </c>
      <c r="J6" s="1721">
        <f t="shared" si="2"/>
        <v>0</v>
      </c>
      <c r="K6" s="1721">
        <f t="shared" si="2"/>
        <v>0</v>
      </c>
      <c r="L6" s="1721">
        <f t="shared" si="2"/>
        <v>0</v>
      </c>
      <c r="M6" s="1721">
        <f t="shared" si="2"/>
        <v>0</v>
      </c>
      <c r="N6" s="1721">
        <f t="shared" si="2"/>
        <v>0</v>
      </c>
      <c r="O6" s="1721">
        <f t="shared" si="2"/>
        <v>0</v>
      </c>
      <c r="P6" s="1722">
        <f>SUM(F6:O6)</f>
        <v>13327776</v>
      </c>
      <c r="Q6" s="46">
        <f t="shared" ref="Q6:Q35" si="3">R6-S6-T6</f>
        <v>0</v>
      </c>
      <c r="R6" s="1027">
        <f>SUM(R7:R16)</f>
        <v>13327776</v>
      </c>
      <c r="S6" s="1787">
        <f>SUM(S7:S16)</f>
        <v>11106480</v>
      </c>
      <c r="T6" s="1789">
        <f>SUM(T7:T16)</f>
        <v>2221296</v>
      </c>
      <c r="U6" s="1604">
        <f>R6/P6</f>
        <v>1</v>
      </c>
      <c r="V6" s="1698">
        <f>SUM(V7:V16)</f>
        <v>0</v>
      </c>
      <c r="W6" s="1698">
        <f>SUM(W7:W16)</f>
        <v>0</v>
      </c>
      <c r="X6" s="1005">
        <f>SUM(X7:X16)</f>
        <v>0</v>
      </c>
      <c r="Y6" s="1615">
        <f>X6/P6</f>
        <v>0</v>
      </c>
      <c r="Z6" s="1005">
        <f>SUM(Z7:Z16)</f>
        <v>0</v>
      </c>
      <c r="AA6" s="1615">
        <f t="shared" ref="AA6:AA35" si="4">Z6/P6</f>
        <v>0</v>
      </c>
      <c r="AB6" s="1022"/>
      <c r="AC6" s="1023"/>
      <c r="AD6" s="46"/>
      <c r="AE6" s="46">
        <f>SUM(R6,X6)-P6</f>
        <v>0</v>
      </c>
      <c r="AG6" s="1791">
        <f t="shared" ref="AG6:AJ6" si="5">SUM(AG7:AG16)</f>
        <v>0</v>
      </c>
      <c r="AH6" s="1791">
        <f t="shared" si="5"/>
        <v>0</v>
      </c>
      <c r="AI6" s="1791">
        <f t="shared" si="5"/>
        <v>0</v>
      </c>
      <c r="AJ6" s="1791">
        <f t="shared" si="5"/>
        <v>0</v>
      </c>
    </row>
    <row r="7" spans="1:36" customFormat="1" ht="15" outlineLevel="1">
      <c r="B7" s="1002"/>
      <c r="C7" s="1003" t="s">
        <v>1426</v>
      </c>
      <c r="D7" s="1003"/>
      <c r="E7" s="1004"/>
      <c r="F7" s="1723">
        <f t="shared" ref="F7:O7" si="6">SUM(F8:F11)</f>
        <v>0</v>
      </c>
      <c r="G7" s="1723">
        <f t="shared" si="6"/>
        <v>4372704</v>
      </c>
      <c r="H7" s="1723">
        <f t="shared" si="6"/>
        <v>5332320</v>
      </c>
      <c r="I7" s="1723">
        <f t="shared" si="6"/>
        <v>0</v>
      </c>
      <c r="J7" s="1723">
        <f t="shared" si="6"/>
        <v>0</v>
      </c>
      <c r="K7" s="1723">
        <f t="shared" si="6"/>
        <v>0</v>
      </c>
      <c r="L7" s="1723">
        <f t="shared" si="6"/>
        <v>0</v>
      </c>
      <c r="M7" s="1723">
        <f t="shared" si="6"/>
        <v>0</v>
      </c>
      <c r="N7" s="1723">
        <f t="shared" si="6"/>
        <v>0</v>
      </c>
      <c r="O7" s="1723">
        <f t="shared" si="6"/>
        <v>0</v>
      </c>
      <c r="P7" s="1724">
        <f t="shared" ref="P7:P35" si="7">SUM(F7:O7)</f>
        <v>9705024</v>
      </c>
      <c r="Q7" s="46">
        <f t="shared" si="3"/>
        <v>0</v>
      </c>
      <c r="R7" s="1016"/>
      <c r="S7" s="1775"/>
      <c r="T7" s="1775"/>
      <c r="U7" s="1605"/>
      <c r="V7" s="1605"/>
      <c r="W7" s="1605"/>
      <c r="X7" s="1009"/>
      <c r="Y7" s="1616"/>
      <c r="Z7" s="1009"/>
      <c r="AA7" s="1616">
        <f t="shared" si="4"/>
        <v>0</v>
      </c>
      <c r="AB7" s="1017"/>
      <c r="AC7" s="1018"/>
      <c r="AE7" s="46"/>
      <c r="AG7" s="1792"/>
      <c r="AH7" s="1792"/>
      <c r="AI7" s="1792"/>
      <c r="AJ7" s="1792"/>
    </row>
    <row r="8" spans="1:36" outlineLevel="1">
      <c r="B8" s="1007" t="s">
        <v>7</v>
      </c>
      <c r="C8" s="1008" t="s">
        <v>205</v>
      </c>
      <c r="D8" s="1008" t="s">
        <v>1842</v>
      </c>
      <c r="E8" s="1008" t="s">
        <v>0</v>
      </c>
      <c r="F8" s="1725"/>
      <c r="G8" s="1752">
        <f>'N_02 Vstupy'!$H$179/2*1.2</f>
        <v>770400</v>
      </c>
      <c r="H8" s="1752">
        <f>'N_02 Vstupy'!$H$179/2*1.2</f>
        <v>770400</v>
      </c>
      <c r="I8" s="1725"/>
      <c r="J8" s="1725"/>
      <c r="K8" s="1725"/>
      <c r="L8" s="1725"/>
      <c r="M8" s="1725"/>
      <c r="N8" s="1725"/>
      <c r="O8" s="1725"/>
      <c r="P8" s="1727">
        <f>SUM(F8:O8)</f>
        <v>1540800</v>
      </c>
      <c r="Q8" s="46">
        <f t="shared" si="3"/>
        <v>0</v>
      </c>
      <c r="R8" s="1016">
        <f>SUM(F8:H8)</f>
        <v>1540800</v>
      </c>
      <c r="S8" s="1775">
        <f t="shared" ref="S8:S11" si="8">R8/1.2</f>
        <v>1284000</v>
      </c>
      <c r="T8" s="1775">
        <f t="shared" ref="T8:T11" si="9">S8*0.2</f>
        <v>256800</v>
      </c>
      <c r="U8" s="1605">
        <f>R8/P8</f>
        <v>1</v>
      </c>
      <c r="V8" s="1605"/>
      <c r="W8" s="1605"/>
      <c r="X8" s="1009">
        <f>SUM(I8:O8)-AB8-AC8</f>
        <v>0</v>
      </c>
      <c r="Y8" s="1616">
        <f>X8/P8</f>
        <v>0</v>
      </c>
      <c r="Z8" s="1009"/>
      <c r="AA8" s="1616">
        <f t="shared" si="4"/>
        <v>0</v>
      </c>
      <c r="AB8" s="1008"/>
      <c r="AC8" s="1019"/>
      <c r="AE8" s="46"/>
      <c r="AG8" s="1792"/>
      <c r="AH8" s="1792"/>
      <c r="AI8" s="1792"/>
      <c r="AJ8" s="1792"/>
    </row>
    <row r="9" spans="1:36" outlineLevel="1">
      <c r="B9" s="1007" t="s">
        <v>7</v>
      </c>
      <c r="C9" s="1008" t="s">
        <v>205</v>
      </c>
      <c r="D9" s="1008" t="s">
        <v>1615</v>
      </c>
      <c r="E9" s="1008" t="s">
        <v>0</v>
      </c>
      <c r="F9" s="1725"/>
      <c r="G9" s="1752">
        <f>('N_02 Vstupy'!$F$184*1.2)/2</f>
        <v>3602304</v>
      </c>
      <c r="H9" s="1752">
        <f>('N_02 Vstupy'!$F$184*1.2)/2</f>
        <v>3602304</v>
      </c>
      <c r="I9" s="1725"/>
      <c r="J9" s="1725"/>
      <c r="K9" s="1725"/>
      <c r="L9" s="1725"/>
      <c r="M9" s="1725"/>
      <c r="N9" s="1725"/>
      <c r="O9" s="1725"/>
      <c r="P9" s="1727">
        <f>SUM(F9:O9)</f>
        <v>7204608</v>
      </c>
      <c r="Q9" s="46">
        <f t="shared" si="3"/>
        <v>0</v>
      </c>
      <c r="R9" s="1016">
        <f>SUM(F9:H9)</f>
        <v>7204608</v>
      </c>
      <c r="S9" s="1775">
        <f t="shared" si="8"/>
        <v>6003840</v>
      </c>
      <c r="T9" s="1775">
        <f t="shared" si="9"/>
        <v>1200768</v>
      </c>
      <c r="U9" s="1605">
        <f>R9/P9</f>
        <v>1</v>
      </c>
      <c r="V9" s="1605"/>
      <c r="W9" s="1605"/>
      <c r="X9" s="1009">
        <f>SUM(I9:O9)-AB9-AC9</f>
        <v>0</v>
      </c>
      <c r="Y9" s="1616">
        <f>X9/P9</f>
        <v>0</v>
      </c>
      <c r="Z9" s="1009"/>
      <c r="AA9" s="1616">
        <f t="shared" si="4"/>
        <v>0</v>
      </c>
      <c r="AB9" s="1008"/>
      <c r="AC9" s="1019"/>
      <c r="AE9" s="46">
        <f>SUM(R9,X9)-P9</f>
        <v>0</v>
      </c>
      <c r="AG9" s="1792"/>
      <c r="AH9" s="1792"/>
      <c r="AI9" s="1792"/>
      <c r="AJ9" s="1792"/>
    </row>
    <row r="10" spans="1:36" outlineLevel="1">
      <c r="B10" s="1007" t="s">
        <v>7</v>
      </c>
      <c r="C10" s="1008" t="s">
        <v>1572</v>
      </c>
      <c r="D10" s="1008" t="s">
        <v>1616</v>
      </c>
      <c r="E10" s="1008" t="s">
        <v>0</v>
      </c>
      <c r="F10" s="1725"/>
      <c r="G10" s="1752"/>
      <c r="H10" s="1752">
        <f>'N_02 Vstupy'!$F$190*1.2</f>
        <v>300096</v>
      </c>
      <c r="I10" s="1725"/>
      <c r="J10" s="1725"/>
      <c r="K10" s="1725"/>
      <c r="L10" s="1725"/>
      <c r="M10" s="1725"/>
      <c r="N10" s="1725"/>
      <c r="O10" s="1725"/>
      <c r="P10" s="1727">
        <f t="shared" si="7"/>
        <v>300096</v>
      </c>
      <c r="Q10" s="46">
        <f t="shared" si="3"/>
        <v>0</v>
      </c>
      <c r="R10" s="1016">
        <f>SUM(F10:H10)</f>
        <v>300096</v>
      </c>
      <c r="S10" s="1775">
        <f t="shared" si="8"/>
        <v>250080</v>
      </c>
      <c r="T10" s="1775">
        <f t="shared" si="9"/>
        <v>50016</v>
      </c>
      <c r="U10" s="1605">
        <f>R10/P10</f>
        <v>1</v>
      </c>
      <c r="V10" s="1605"/>
      <c r="W10" s="1605"/>
      <c r="X10" s="1009">
        <f>SUM(I10:O10)-AB10-AC10</f>
        <v>0</v>
      </c>
      <c r="Y10" s="1616">
        <f>X10/P10</f>
        <v>0</v>
      </c>
      <c r="Z10" s="1009"/>
      <c r="AA10" s="1616">
        <f t="shared" si="4"/>
        <v>0</v>
      </c>
      <c r="AB10" s="1008"/>
      <c r="AC10" s="1019"/>
      <c r="AE10" s="46">
        <f>SUM(R10,X10)-P10</f>
        <v>0</v>
      </c>
      <c r="AG10" s="1792"/>
      <c r="AH10" s="1792"/>
      <c r="AI10" s="1792"/>
      <c r="AJ10" s="1792"/>
    </row>
    <row r="11" spans="1:36" outlineLevel="1">
      <c r="B11" s="1007" t="s">
        <v>7</v>
      </c>
      <c r="C11" s="1008" t="s">
        <v>1573</v>
      </c>
      <c r="D11" s="1008" t="s">
        <v>1614</v>
      </c>
      <c r="E11" s="1008" t="s">
        <v>0</v>
      </c>
      <c r="F11" s="1725"/>
      <c r="G11" s="1752"/>
      <c r="H11" s="1752">
        <f>'N_02 Vstupy'!$F$192*1.2</f>
        <v>659520</v>
      </c>
      <c r="I11" s="1725"/>
      <c r="J11" s="1725"/>
      <c r="K11" s="1725"/>
      <c r="L11" s="1725"/>
      <c r="M11" s="1725"/>
      <c r="N11" s="1725"/>
      <c r="O11" s="1725"/>
      <c r="P11" s="1727">
        <f t="shared" si="7"/>
        <v>659520</v>
      </c>
      <c r="Q11" s="46">
        <f t="shared" si="3"/>
        <v>0</v>
      </c>
      <c r="R11" s="1016">
        <f>SUM(F11:H11)</f>
        <v>659520</v>
      </c>
      <c r="S11" s="1775">
        <f t="shared" si="8"/>
        <v>549600</v>
      </c>
      <c r="T11" s="1775">
        <f t="shared" si="9"/>
        <v>109920</v>
      </c>
      <c r="U11" s="1605">
        <f>R11/P11</f>
        <v>1</v>
      </c>
      <c r="V11" s="1605"/>
      <c r="W11" s="1605"/>
      <c r="X11" s="1009">
        <f>SUM(I11:O11)-AB11-AC11</f>
        <v>0</v>
      </c>
      <c r="Y11" s="1616">
        <f>X11/P11</f>
        <v>0</v>
      </c>
      <c r="Z11" s="1009"/>
      <c r="AA11" s="1616">
        <f t="shared" si="4"/>
        <v>0</v>
      </c>
      <c r="AB11" s="1008"/>
      <c r="AC11" s="1019"/>
      <c r="AE11" s="46">
        <f>SUM(R11,X11)-P11</f>
        <v>0</v>
      </c>
      <c r="AG11" s="1792"/>
      <c r="AH11" s="1792"/>
      <c r="AI11" s="1792"/>
      <c r="AJ11" s="1792"/>
    </row>
    <row r="12" spans="1:36" outlineLevel="1" collapsed="1">
      <c r="B12" s="1002"/>
      <c r="C12" s="1003" t="s">
        <v>1427</v>
      </c>
      <c r="D12" s="1004"/>
      <c r="E12" s="1004"/>
      <c r="F12" s="1723">
        <f t="shared" ref="F12:O12" si="10">SUM(F13:F14)</f>
        <v>0</v>
      </c>
      <c r="G12" s="1723">
        <f t="shared" si="10"/>
        <v>0</v>
      </c>
      <c r="H12" s="1723">
        <f t="shared" si="10"/>
        <v>3622752</v>
      </c>
      <c r="I12" s="1723">
        <f t="shared" si="10"/>
        <v>0</v>
      </c>
      <c r="J12" s="1723">
        <f t="shared" si="10"/>
        <v>0</v>
      </c>
      <c r="K12" s="1723">
        <f t="shared" si="10"/>
        <v>0</v>
      </c>
      <c r="L12" s="1723">
        <f t="shared" si="10"/>
        <v>0</v>
      </c>
      <c r="M12" s="1723">
        <f t="shared" si="10"/>
        <v>0</v>
      </c>
      <c r="N12" s="1723">
        <f t="shared" si="10"/>
        <v>0</v>
      </c>
      <c r="O12" s="1723">
        <f t="shared" si="10"/>
        <v>0</v>
      </c>
      <c r="P12" s="1724">
        <f t="shared" si="7"/>
        <v>3622752</v>
      </c>
      <c r="Q12" s="46">
        <f t="shared" si="3"/>
        <v>0</v>
      </c>
      <c r="R12" s="1007"/>
      <c r="S12" s="1776"/>
      <c r="T12" s="1776"/>
      <c r="U12" s="1605"/>
      <c r="V12" s="1605"/>
      <c r="W12" s="1605"/>
      <c r="X12" s="1009"/>
      <c r="Y12" s="1616"/>
      <c r="Z12" s="1009"/>
      <c r="AA12" s="1616">
        <f t="shared" si="4"/>
        <v>0</v>
      </c>
      <c r="AB12" s="1008"/>
      <c r="AC12" s="1019"/>
      <c r="AE12" s="46"/>
      <c r="AG12" s="1792"/>
      <c r="AH12" s="1792"/>
      <c r="AI12" s="1792"/>
      <c r="AJ12" s="1792"/>
    </row>
    <row r="13" spans="1:36" outlineLevel="1">
      <c r="B13" s="1007" t="s">
        <v>7</v>
      </c>
      <c r="C13" s="1008" t="s">
        <v>206</v>
      </c>
      <c r="D13" s="1008" t="s">
        <v>1835</v>
      </c>
      <c r="E13" s="1008" t="s">
        <v>0</v>
      </c>
      <c r="F13" s="1725"/>
      <c r="G13" s="1725"/>
      <c r="H13" s="1726">
        <f>'N_02 Vstupy'!$F$193*1.2*1.5</f>
        <v>3622752</v>
      </c>
      <c r="I13" s="1725"/>
      <c r="J13" s="1725"/>
      <c r="K13" s="1725"/>
      <c r="L13" s="1725"/>
      <c r="M13" s="1725"/>
      <c r="N13" s="1725"/>
      <c r="O13" s="1725"/>
      <c r="P13" s="1727">
        <f>SUM(F13:O13)</f>
        <v>3622752</v>
      </c>
      <c r="Q13" s="46">
        <f t="shared" si="3"/>
        <v>0</v>
      </c>
      <c r="R13" s="1016">
        <f>SUM(F13:H13)</f>
        <v>3622752</v>
      </c>
      <c r="S13" s="1775">
        <f>R13/1.2</f>
        <v>3018960</v>
      </c>
      <c r="T13" s="1775">
        <f>S13*0.2</f>
        <v>603792</v>
      </c>
      <c r="U13" s="1605">
        <f>R13/P13</f>
        <v>1</v>
      </c>
      <c r="V13" s="1605"/>
      <c r="W13" s="1605"/>
      <c r="X13" s="1009">
        <f>SUM(I13:O13)-AB13-AC13</f>
        <v>0</v>
      </c>
      <c r="Y13" s="1616">
        <f>X13/P13</f>
        <v>0</v>
      </c>
      <c r="Z13" s="1009"/>
      <c r="AA13" s="1616">
        <f t="shared" si="4"/>
        <v>0</v>
      </c>
      <c r="AB13" s="1008"/>
      <c r="AC13" s="1019"/>
      <c r="AE13" s="46">
        <f>SUM(R13,X13)-P13</f>
        <v>0</v>
      </c>
      <c r="AG13" s="1792"/>
      <c r="AH13" s="1792"/>
      <c r="AI13" s="1792"/>
      <c r="AJ13" s="1792"/>
    </row>
    <row r="14" spans="1:36" outlineLevel="1">
      <c r="B14" s="1007" t="s">
        <v>7</v>
      </c>
      <c r="C14" s="1008" t="s">
        <v>1560</v>
      </c>
      <c r="D14" s="1008" t="s">
        <v>1630</v>
      </c>
      <c r="E14" s="1011" t="s">
        <v>1631</v>
      </c>
      <c r="F14" s="1725"/>
      <c r="G14" s="1725"/>
      <c r="H14" s="1725"/>
      <c r="I14" s="1725"/>
      <c r="J14" s="1725"/>
      <c r="K14" s="1725"/>
      <c r="L14" s="1725"/>
      <c r="M14" s="1725"/>
      <c r="N14" s="1725"/>
      <c r="O14" s="1725"/>
      <c r="P14" s="1727">
        <f>SUM(F14:O14)</f>
        <v>0</v>
      </c>
      <c r="Q14" s="46">
        <f t="shared" si="3"/>
        <v>0</v>
      </c>
      <c r="R14" s="1222">
        <f>SUM(F14:H14)</f>
        <v>0</v>
      </c>
      <c r="S14" s="1777"/>
      <c r="T14" s="1777"/>
      <c r="U14" s="1606" t="e">
        <f>R14/P14</f>
        <v>#DIV/0!</v>
      </c>
      <c r="V14" s="1606"/>
      <c r="W14" s="1606"/>
      <c r="X14" s="1012">
        <f>SUM(I14:O14)-AB14-AC14</f>
        <v>0</v>
      </c>
      <c r="Y14" s="1617" t="e">
        <f>X14/P14</f>
        <v>#DIV/0!</v>
      </c>
      <c r="Z14" s="1012"/>
      <c r="AA14" s="1617" t="e">
        <f t="shared" si="4"/>
        <v>#DIV/0!</v>
      </c>
      <c r="AB14" s="1008"/>
      <c r="AC14" s="1019"/>
      <c r="AE14" s="46">
        <f>SUM(R14,X14)-P14</f>
        <v>0</v>
      </c>
      <c r="AG14" s="1793"/>
      <c r="AH14" s="1793"/>
      <c r="AI14" s="1793"/>
      <c r="AJ14" s="1793"/>
    </row>
    <row r="15" spans="1:36" outlineLevel="1">
      <c r="B15" s="1002"/>
      <c r="C15" s="1003" t="s">
        <v>1428</v>
      </c>
      <c r="D15" s="1004"/>
      <c r="E15" s="1004"/>
      <c r="F15" s="1723">
        <f t="shared" ref="F15:O15" si="11">SUM(F16:F16)</f>
        <v>0</v>
      </c>
      <c r="G15" s="1723">
        <f t="shared" si="11"/>
        <v>0</v>
      </c>
      <c r="H15" s="1723">
        <f t="shared" si="11"/>
        <v>0</v>
      </c>
      <c r="I15" s="1723">
        <f t="shared" si="11"/>
        <v>0</v>
      </c>
      <c r="J15" s="1723">
        <f t="shared" si="11"/>
        <v>0</v>
      </c>
      <c r="K15" s="1723">
        <f t="shared" si="11"/>
        <v>0</v>
      </c>
      <c r="L15" s="1723">
        <f t="shared" si="11"/>
        <v>0</v>
      </c>
      <c r="M15" s="1723">
        <f t="shared" si="11"/>
        <v>0</v>
      </c>
      <c r="N15" s="1723">
        <f t="shared" si="11"/>
        <v>0</v>
      </c>
      <c r="O15" s="1723">
        <f t="shared" si="11"/>
        <v>0</v>
      </c>
      <c r="P15" s="1724">
        <f t="shared" si="7"/>
        <v>0</v>
      </c>
      <c r="Q15" s="46">
        <f t="shared" si="3"/>
        <v>0</v>
      </c>
      <c r="R15" s="1007"/>
      <c r="S15" s="1776"/>
      <c r="T15" s="1776"/>
      <c r="U15" s="1605"/>
      <c r="V15" s="1605"/>
      <c r="W15" s="1605"/>
      <c r="X15" s="1009"/>
      <c r="Y15" s="1616"/>
      <c r="Z15" s="1009"/>
      <c r="AA15" s="1616" t="e">
        <f t="shared" si="4"/>
        <v>#DIV/0!</v>
      </c>
      <c r="AB15" s="1008"/>
      <c r="AC15" s="1019"/>
      <c r="AE15" s="46"/>
      <c r="AG15" s="1792"/>
      <c r="AH15" s="1792"/>
      <c r="AI15" s="1792"/>
      <c r="AJ15" s="1792"/>
    </row>
    <row r="16" spans="1:36" outlineLevel="1">
      <c r="B16" s="1007" t="s">
        <v>7</v>
      </c>
      <c r="C16" s="1008" t="s">
        <v>208</v>
      </c>
      <c r="D16" s="1008" t="s">
        <v>1603</v>
      </c>
      <c r="E16" s="1008" t="s">
        <v>0</v>
      </c>
      <c r="F16" s="1725"/>
      <c r="G16" s="1725"/>
      <c r="H16" s="1725"/>
      <c r="I16" s="1725"/>
      <c r="J16" s="1725"/>
      <c r="K16" s="1725"/>
      <c r="L16" s="1725"/>
      <c r="M16" s="1725"/>
      <c r="N16" s="1725"/>
      <c r="O16" s="1725"/>
      <c r="P16" s="1727">
        <f t="shared" si="7"/>
        <v>0</v>
      </c>
      <c r="Q16" s="46">
        <f t="shared" si="3"/>
        <v>0</v>
      </c>
      <c r="R16" s="1016">
        <f>SUM(F16:H16)</f>
        <v>0</v>
      </c>
      <c r="S16" s="1775"/>
      <c r="T16" s="1775"/>
      <c r="U16" s="1605" t="e">
        <f>R16/P16</f>
        <v>#DIV/0!</v>
      </c>
      <c r="V16" s="1605"/>
      <c r="W16" s="1605"/>
      <c r="X16" s="1009">
        <f>SUM(I16:O16)-AB16-AC16</f>
        <v>0</v>
      </c>
      <c r="Y16" s="1616" t="e">
        <f>X16/P16</f>
        <v>#DIV/0!</v>
      </c>
      <c r="Z16" s="1009"/>
      <c r="AA16" s="1616" t="e">
        <f t="shared" si="4"/>
        <v>#DIV/0!</v>
      </c>
      <c r="AB16" s="1008"/>
      <c r="AC16" s="1019"/>
      <c r="AE16" s="46">
        <f>SUM(R16,X16)-P16</f>
        <v>0</v>
      </c>
      <c r="AG16" s="1792"/>
      <c r="AH16" s="1792"/>
      <c r="AI16" s="1792"/>
      <c r="AJ16" s="1792"/>
    </row>
    <row r="17" spans="2:36" outlineLevel="1">
      <c r="B17" s="998" t="s">
        <v>1371</v>
      </c>
      <c r="C17" s="999"/>
      <c r="D17" s="999"/>
      <c r="E17" s="1000"/>
      <c r="F17" s="1721">
        <f t="shared" ref="F17:O17" si="12">F18+F27+F32+F34</f>
        <v>989961.45</v>
      </c>
      <c r="G17" s="1721">
        <f t="shared" si="12"/>
        <v>6017299.9500000002</v>
      </c>
      <c r="H17" s="1721">
        <f t="shared" si="12"/>
        <v>5571306.6586584821</v>
      </c>
      <c r="I17" s="1721">
        <f t="shared" si="12"/>
        <v>3277461.9790517641</v>
      </c>
      <c r="J17" s="1721">
        <f t="shared" si="12"/>
        <v>3412490.8277582997</v>
      </c>
      <c r="K17" s="1721">
        <f t="shared" si="12"/>
        <v>3428489.5968727083</v>
      </c>
      <c r="L17" s="1721">
        <f t="shared" si="12"/>
        <v>4241681.7059831247</v>
      </c>
      <c r="M17" s="1721">
        <f t="shared" si="12"/>
        <v>4373517.3596928623</v>
      </c>
      <c r="N17" s="1721">
        <f t="shared" si="12"/>
        <v>4508127.5492297206</v>
      </c>
      <c r="O17" s="1721">
        <f t="shared" si="12"/>
        <v>4645648.4031450953</v>
      </c>
      <c r="P17" s="1722">
        <f t="shared" si="7"/>
        <v>40465985.480392061</v>
      </c>
      <c r="Q17" s="46">
        <f t="shared" si="3"/>
        <v>0</v>
      </c>
      <c r="R17" s="1028">
        <f>SUM(R18:R35)</f>
        <v>10997453.85</v>
      </c>
      <c r="S17" s="1028">
        <f t="shared" ref="S17:T17" si="13">SUM(S18:S35)</f>
        <v>9493647.3499999996</v>
      </c>
      <c r="T17" s="1028">
        <f t="shared" si="13"/>
        <v>1503806.5</v>
      </c>
      <c r="U17" s="1607">
        <f>R17/P17</f>
        <v>0.27177032066422441</v>
      </c>
      <c r="V17" s="1701">
        <f>SUM(V18:V35)</f>
        <v>1520044.5</v>
      </c>
      <c r="W17" s="1701">
        <f>SUM(W18:W35)</f>
        <v>23361561</v>
      </c>
      <c r="X17" s="1029">
        <f>SUM(X18:X35)</f>
        <v>24881605.5</v>
      </c>
      <c r="Y17" s="1618">
        <f>X17/P17</f>
        <v>0.61487704314173863</v>
      </c>
      <c r="Z17" s="1029">
        <f>SUM(Z18:Z35)</f>
        <v>4586926.1303920578</v>
      </c>
      <c r="AA17" s="1618">
        <f t="shared" si="4"/>
        <v>0.11335263619403682</v>
      </c>
      <c r="AB17" s="1024"/>
      <c r="AC17" s="1025"/>
      <c r="AE17" s="46">
        <f>SUM(R17,X17)-P17</f>
        <v>-4586926.1303920597</v>
      </c>
      <c r="AG17" s="1794">
        <f t="shared" ref="AG17:AH17" si="14">SUM(AG18:AG35)</f>
        <v>1326429</v>
      </c>
      <c r="AH17" s="1794">
        <f t="shared" si="14"/>
        <v>193615.5</v>
      </c>
      <c r="AI17" s="1794">
        <f>SUM(AI18:AI35)</f>
        <v>20211769</v>
      </c>
      <c r="AJ17" s="1794">
        <f>SUM(AJ18:AJ35)</f>
        <v>3149792</v>
      </c>
    </row>
    <row r="18" spans="2:36" outlineLevel="1">
      <c r="B18" s="1002"/>
      <c r="C18" s="1003" t="s">
        <v>1429</v>
      </c>
      <c r="D18" s="1004"/>
      <c r="E18" s="1004"/>
      <c r="F18" s="1723">
        <f t="shared" ref="F18:O18" si="15">SUM(F19:F26)</f>
        <v>0</v>
      </c>
      <c r="G18" s="1723">
        <f t="shared" si="15"/>
        <v>3420000</v>
      </c>
      <c r="H18" s="1723">
        <f t="shared" si="15"/>
        <v>1295221.7086584817</v>
      </c>
      <c r="I18" s="1723">
        <f t="shared" si="15"/>
        <v>2497434.9790517641</v>
      </c>
      <c r="J18" s="1723">
        <f t="shared" si="15"/>
        <v>2632463.8277582997</v>
      </c>
      <c r="K18" s="1723">
        <f t="shared" si="15"/>
        <v>2759138.5968727083</v>
      </c>
      <c r="L18" s="1723">
        <f t="shared" si="15"/>
        <v>3572330.7059831251</v>
      </c>
      <c r="M18" s="1723">
        <f t="shared" si="15"/>
        <v>3704166.3596928627</v>
      </c>
      <c r="N18" s="1723">
        <f t="shared" si="15"/>
        <v>3838776.5492297201</v>
      </c>
      <c r="O18" s="1723">
        <f t="shared" si="15"/>
        <v>3976297.4031450958</v>
      </c>
      <c r="P18" s="1724">
        <f t="shared" si="7"/>
        <v>27695830.130392056</v>
      </c>
      <c r="Q18" s="46">
        <f t="shared" si="3"/>
        <v>0</v>
      </c>
      <c r="R18" s="1007"/>
      <c r="S18" s="1776"/>
      <c r="T18" s="1776"/>
      <c r="U18" s="1605"/>
      <c r="V18" s="1605"/>
      <c r="W18" s="1605"/>
      <c r="X18" s="1008"/>
      <c r="Y18" s="1616"/>
      <c r="Z18" s="1008"/>
      <c r="AA18" s="1616">
        <f t="shared" si="4"/>
        <v>0</v>
      </c>
      <c r="AB18" s="1008"/>
      <c r="AC18" s="1019"/>
      <c r="AE18" s="46"/>
      <c r="AG18" s="1792"/>
      <c r="AH18" s="1792"/>
      <c r="AI18" s="1792"/>
      <c r="AJ18" s="1792"/>
    </row>
    <row r="19" spans="2:36" outlineLevel="1">
      <c r="B19" s="1007" t="s">
        <v>5</v>
      </c>
      <c r="C19" s="1008" t="s">
        <v>205</v>
      </c>
      <c r="D19" s="1008" t="s">
        <v>1847</v>
      </c>
      <c r="E19" s="1008" t="s">
        <v>0</v>
      </c>
      <c r="F19" s="1725"/>
      <c r="G19" s="1726">
        <f>'N_02 Vstupy'!$F$178*1.2</f>
        <v>3420000</v>
      </c>
      <c r="H19" s="1725"/>
      <c r="I19" s="1725"/>
      <c r="J19" s="1725"/>
      <c r="K19" s="1725"/>
      <c r="L19" s="1726">
        <f>'N_02 Vstupy'!$H$181*1.2</f>
        <v>684000</v>
      </c>
      <c r="M19" s="1726">
        <f>'N_02 Vstupy'!$H$181*1.2</f>
        <v>684000</v>
      </c>
      <c r="N19" s="1726">
        <f>'N_02 Vstupy'!$H$181*1.2</f>
        <v>684000</v>
      </c>
      <c r="O19" s="1726">
        <f>'N_02 Vstupy'!$H$181*1.2</f>
        <v>684000</v>
      </c>
      <c r="P19" s="1727">
        <f>SUM(F19:O19)</f>
        <v>6156000</v>
      </c>
      <c r="Q19" s="46">
        <f t="shared" si="3"/>
        <v>0</v>
      </c>
      <c r="R19" s="1016">
        <f>SUM(F19:H19)</f>
        <v>3420000</v>
      </c>
      <c r="S19" s="1775">
        <f>R19/1.2</f>
        <v>2850000</v>
      </c>
      <c r="T19" s="1775">
        <f>S19*0.2</f>
        <v>570000</v>
      </c>
      <c r="U19" s="1605">
        <f t="shared" ref="U19:U24" si="16">R19/P19</f>
        <v>0.55555555555555558</v>
      </c>
      <c r="V19" s="1605"/>
      <c r="W19" s="1699">
        <f>SUM(I19:O19)</f>
        <v>2736000</v>
      </c>
      <c r="X19" s="1009">
        <f>SUM(I19:O19)-AB19-AC19</f>
        <v>2736000</v>
      </c>
      <c r="Y19" s="1616">
        <f t="shared" ref="Y19:Y24" si="17">X19/P19</f>
        <v>0.44444444444444442</v>
      </c>
      <c r="Z19" s="1009"/>
      <c r="AA19" s="1616">
        <f t="shared" si="4"/>
        <v>0</v>
      </c>
      <c r="AB19" s="1008"/>
      <c r="AC19" s="1019"/>
      <c r="AE19" s="46">
        <f t="shared" ref="AE19:AE26" si="18">SUM(R19,X19)-P19</f>
        <v>0</v>
      </c>
      <c r="AG19" s="1792">
        <f>V19/1.2</f>
        <v>0</v>
      </c>
      <c r="AH19" s="1792">
        <f>AG19*0.2</f>
        <v>0</v>
      </c>
      <c r="AI19" s="1792">
        <f>W19/1.2</f>
        <v>2280000</v>
      </c>
      <c r="AJ19" s="1792">
        <f>AI19*0.2</f>
        <v>456000</v>
      </c>
    </row>
    <row r="20" spans="2:36" hidden="1" outlineLevel="1">
      <c r="B20" s="1007" t="s">
        <v>5</v>
      </c>
      <c r="C20" s="1008" t="s">
        <v>205</v>
      </c>
      <c r="D20" s="1008" t="s">
        <v>1425</v>
      </c>
      <c r="E20" s="1008" t="s">
        <v>0</v>
      </c>
      <c r="F20" s="1725"/>
      <c r="G20" s="1725"/>
      <c r="H20" s="1726">
        <f>'N_02 Vstupy'!$G$183*1.2</f>
        <v>0</v>
      </c>
      <c r="I20" s="1726">
        <f>'N_02 Vstupy'!$G$183*1.2</f>
        <v>0</v>
      </c>
      <c r="J20" s="1726">
        <f>'N_02 Vstupy'!$G$183*1.2</f>
        <v>0</v>
      </c>
      <c r="K20" s="1726">
        <f>'N_02 Vstupy'!$G$183*1.2</f>
        <v>0</v>
      </c>
      <c r="L20" s="1726">
        <f>'N_02 Vstupy'!$G$183*1.2</f>
        <v>0</v>
      </c>
      <c r="M20" s="1726">
        <f>'N_02 Vstupy'!$G$183*1.2</f>
        <v>0</v>
      </c>
      <c r="N20" s="1726">
        <f>'N_02 Vstupy'!$G$183*1.2</f>
        <v>0</v>
      </c>
      <c r="O20" s="1726">
        <f>'N_02 Vstupy'!$G$183*1.2</f>
        <v>0</v>
      </c>
      <c r="P20" s="1727">
        <f t="shared" si="7"/>
        <v>0</v>
      </c>
      <c r="Q20" s="46">
        <f t="shared" si="3"/>
        <v>0</v>
      </c>
      <c r="R20" s="1016">
        <f>SUM(F20:H20)</f>
        <v>0</v>
      </c>
      <c r="S20" s="1775"/>
      <c r="T20" s="1775"/>
      <c r="U20" s="1605" t="e">
        <f t="shared" si="16"/>
        <v>#DIV/0!</v>
      </c>
      <c r="V20" s="1605"/>
      <c r="W20" s="1605"/>
      <c r="X20" s="1009">
        <f>SUM(I20:O20)-AB20-AC20</f>
        <v>0</v>
      </c>
      <c r="Y20" s="1616" t="e">
        <f t="shared" si="17"/>
        <v>#DIV/0!</v>
      </c>
      <c r="Z20" s="1009"/>
      <c r="AA20" s="1616" t="e">
        <f t="shared" si="4"/>
        <v>#DIV/0!</v>
      </c>
      <c r="AB20" s="1008"/>
      <c r="AC20" s="1019"/>
      <c r="AE20" s="46">
        <f t="shared" si="18"/>
        <v>0</v>
      </c>
      <c r="AG20" s="1792">
        <f t="shared" ref="AG20:AG35" si="19">V20/1.2</f>
        <v>0</v>
      </c>
      <c r="AH20" s="1792">
        <f t="shared" ref="AH20:AH35" si="20">AG20*0.2</f>
        <v>0</v>
      </c>
      <c r="AI20" s="1792">
        <f t="shared" ref="AI20:AI35" si="21">W20/1.2</f>
        <v>0</v>
      </c>
      <c r="AJ20" s="1792">
        <f t="shared" ref="AJ20:AJ35" si="22">AI20*0.2</f>
        <v>0</v>
      </c>
    </row>
    <row r="21" spans="2:36" hidden="1" outlineLevel="1">
      <c r="B21" s="1007" t="s">
        <v>5</v>
      </c>
      <c r="C21" s="1008" t="s">
        <v>205</v>
      </c>
      <c r="D21" s="1008" t="s">
        <v>259</v>
      </c>
      <c r="E21" s="1008" t="s">
        <v>0</v>
      </c>
      <c r="F21" s="1725"/>
      <c r="G21" s="1725"/>
      <c r="H21" s="1726">
        <f>'N_02 Vstupy'!$G$180*1.2</f>
        <v>0</v>
      </c>
      <c r="I21" s="1726">
        <f>'N_02 Vstupy'!$G$180*1.2</f>
        <v>0</v>
      </c>
      <c r="J21" s="1726">
        <f>'N_02 Vstupy'!$G$180*1.2</f>
        <v>0</v>
      </c>
      <c r="K21" s="1726">
        <f>'N_02 Vstupy'!$G$180*1.2</f>
        <v>0</v>
      </c>
      <c r="L21" s="1726">
        <f>'N_02 Vstupy'!$G$180*1.2</f>
        <v>0</v>
      </c>
      <c r="M21" s="1726">
        <f>'N_02 Vstupy'!$G$180*1.2</f>
        <v>0</v>
      </c>
      <c r="N21" s="1726">
        <f>'N_02 Vstupy'!$G$180*1.2</f>
        <v>0</v>
      </c>
      <c r="O21" s="1726">
        <f>'N_02 Vstupy'!$G$180*1.2</f>
        <v>0</v>
      </c>
      <c r="P21" s="1727">
        <f t="shared" si="7"/>
        <v>0</v>
      </c>
      <c r="Q21" s="46">
        <f t="shared" si="3"/>
        <v>0</v>
      </c>
      <c r="R21" s="1016">
        <f>SUM(F21:H21)</f>
        <v>0</v>
      </c>
      <c r="S21" s="1775"/>
      <c r="T21" s="1775"/>
      <c r="U21" s="1605" t="e">
        <f t="shared" si="16"/>
        <v>#DIV/0!</v>
      </c>
      <c r="V21" s="1605"/>
      <c r="W21" s="1605"/>
      <c r="X21" s="1009">
        <f>SUM(I21:O21)-AB21-AC21</f>
        <v>0</v>
      </c>
      <c r="Y21" s="1616" t="e">
        <f t="shared" si="17"/>
        <v>#DIV/0!</v>
      </c>
      <c r="Z21" s="1009"/>
      <c r="AA21" s="1616" t="e">
        <f t="shared" si="4"/>
        <v>#DIV/0!</v>
      </c>
      <c r="AB21" s="1008"/>
      <c r="AC21" s="1019"/>
      <c r="AE21" s="46">
        <f t="shared" si="18"/>
        <v>0</v>
      </c>
      <c r="AG21" s="1792">
        <f t="shared" si="19"/>
        <v>0</v>
      </c>
      <c r="AH21" s="1792">
        <f t="shared" si="20"/>
        <v>0</v>
      </c>
      <c r="AI21" s="1792">
        <f t="shared" si="21"/>
        <v>0</v>
      </c>
      <c r="AJ21" s="1792">
        <f t="shared" si="22"/>
        <v>0</v>
      </c>
    </row>
    <row r="22" spans="2:36" outlineLevel="1">
      <c r="B22" s="1007" t="s">
        <v>5</v>
      </c>
      <c r="C22" s="1008" t="s">
        <v>205</v>
      </c>
      <c r="D22" s="1008" t="s">
        <v>1846</v>
      </c>
      <c r="E22" s="1008" t="s">
        <v>0</v>
      </c>
      <c r="F22" s="1725"/>
      <c r="G22" s="1725"/>
      <c r="H22" s="1726">
        <f>('N_02 Vstupy'!$G$185*1.2)/2</f>
        <v>900000</v>
      </c>
      <c r="I22" s="1726">
        <f>'N_02 Vstupy'!$G$185*1.2</f>
        <v>1800000</v>
      </c>
      <c r="J22" s="1726">
        <f>'N_02 Vstupy'!$G$185*1.2</f>
        <v>1800000</v>
      </c>
      <c r="K22" s="1726">
        <f>'N_02 Vstupy'!$G$185*1.2</f>
        <v>1800000</v>
      </c>
      <c r="L22" s="1726">
        <f>'N_02 Vstupy'!$G$185*1.2</f>
        <v>1800000</v>
      </c>
      <c r="M22" s="1726">
        <f>'N_02 Vstupy'!$G$185*1.2</f>
        <v>1800000</v>
      </c>
      <c r="N22" s="1726">
        <f>'N_02 Vstupy'!$G$185*1.2</f>
        <v>1800000</v>
      </c>
      <c r="O22" s="1726">
        <f>'N_02 Vstupy'!$G$185*1.2</f>
        <v>1800000</v>
      </c>
      <c r="P22" s="1727">
        <f t="shared" si="7"/>
        <v>13500000</v>
      </c>
      <c r="Q22" s="46">
        <f t="shared" si="3"/>
        <v>0</v>
      </c>
      <c r="R22" s="1016">
        <v>0</v>
      </c>
      <c r="S22" s="1775"/>
      <c r="T22" s="1775"/>
      <c r="U22" s="1605">
        <f t="shared" si="16"/>
        <v>0</v>
      </c>
      <c r="V22" s="1699">
        <f>H22</f>
        <v>900000</v>
      </c>
      <c r="W22" s="1699">
        <f>SUM(I22:O22)</f>
        <v>12600000</v>
      </c>
      <c r="X22" s="1009">
        <f>SUM(H22,I22:O22)</f>
        <v>13500000</v>
      </c>
      <c r="Y22" s="1616">
        <f t="shared" si="17"/>
        <v>1</v>
      </c>
      <c r="Z22" s="1009"/>
      <c r="AA22" s="1616">
        <f t="shared" si="4"/>
        <v>0</v>
      </c>
      <c r="AB22" s="1008"/>
      <c r="AC22" s="1019"/>
      <c r="AE22" s="46">
        <f t="shared" si="18"/>
        <v>0</v>
      </c>
      <c r="AG22" s="1792">
        <f t="shared" si="19"/>
        <v>750000</v>
      </c>
      <c r="AH22" s="1792">
        <f t="shared" si="20"/>
        <v>150000</v>
      </c>
      <c r="AI22" s="1792">
        <f t="shared" si="21"/>
        <v>10500000</v>
      </c>
      <c r="AJ22" s="1792">
        <f t="shared" si="22"/>
        <v>2100000</v>
      </c>
    </row>
    <row r="23" spans="2:36" hidden="1" outlineLevel="1">
      <c r="B23" s="1007" t="s">
        <v>5</v>
      </c>
      <c r="C23" s="1008" t="s">
        <v>205</v>
      </c>
      <c r="D23" s="1008" t="s">
        <v>10</v>
      </c>
      <c r="E23" s="1008" t="s">
        <v>0</v>
      </c>
      <c r="F23" s="1725"/>
      <c r="G23" s="1725"/>
      <c r="H23" s="1725"/>
      <c r="I23" s="1725"/>
      <c r="J23" s="1725"/>
      <c r="K23" s="1725"/>
      <c r="L23" s="1725"/>
      <c r="M23" s="1725"/>
      <c r="N23" s="1725"/>
      <c r="O23" s="1725"/>
      <c r="P23" s="1727">
        <f t="shared" si="7"/>
        <v>0</v>
      </c>
      <c r="Q23" s="46">
        <f t="shared" si="3"/>
        <v>0</v>
      </c>
      <c r="R23" s="1016">
        <f>SUM(F23:G23,H23/2)</f>
        <v>0</v>
      </c>
      <c r="S23" s="1775"/>
      <c r="T23" s="1775"/>
      <c r="U23" s="1605" t="e">
        <f t="shared" si="16"/>
        <v>#DIV/0!</v>
      </c>
      <c r="V23" s="1605"/>
      <c r="W23" s="1605"/>
      <c r="X23" s="1009">
        <f>SUM(H23/2,I23:O23)</f>
        <v>0</v>
      </c>
      <c r="Y23" s="1616" t="e">
        <f t="shared" si="17"/>
        <v>#DIV/0!</v>
      </c>
      <c r="Z23" s="1009"/>
      <c r="AA23" s="1616" t="e">
        <f t="shared" si="4"/>
        <v>#DIV/0!</v>
      </c>
      <c r="AB23" s="1008"/>
      <c r="AC23" s="1019"/>
      <c r="AE23" s="46">
        <f t="shared" si="18"/>
        <v>0</v>
      </c>
      <c r="AG23" s="1792">
        <f t="shared" si="19"/>
        <v>0</v>
      </c>
      <c r="AH23" s="1792">
        <f t="shared" si="20"/>
        <v>0</v>
      </c>
      <c r="AI23" s="1792">
        <f t="shared" si="21"/>
        <v>0</v>
      </c>
      <c r="AJ23" s="1792">
        <f t="shared" si="22"/>
        <v>0</v>
      </c>
    </row>
    <row r="24" spans="2:36" outlineLevel="1">
      <c r="B24" s="1007" t="s">
        <v>5</v>
      </c>
      <c r="C24" s="1008" t="s">
        <v>208</v>
      </c>
      <c r="D24" s="1008" t="s">
        <v>1567</v>
      </c>
      <c r="E24" s="1008" t="s">
        <v>0</v>
      </c>
      <c r="F24" s="1725"/>
      <c r="G24" s="1725"/>
      <c r="H24" s="1725">
        <f>'N_02 Vstupy'!$F$140*1.2*9/12</f>
        <v>334152</v>
      </c>
      <c r="I24" s="1725">
        <f>'N_02 Vstupy'!$F$140*1.2</f>
        <v>445536</v>
      </c>
      <c r="J24" s="1725">
        <f>'N_02 Vstupy'!$F$140*1.2</f>
        <v>445536</v>
      </c>
      <c r="K24" s="1725">
        <f>'N_02 Vstupy'!$F$140*1.2</f>
        <v>445536</v>
      </c>
      <c r="L24" s="1725">
        <f>'N_02 Vstupy'!$F$140*1.2</f>
        <v>445536</v>
      </c>
      <c r="M24" s="1725">
        <f>'N_02 Vstupy'!$F$140*1.2</f>
        <v>445536</v>
      </c>
      <c r="N24" s="1725">
        <f>'N_02 Vstupy'!$F$140*1.2</f>
        <v>445536</v>
      </c>
      <c r="O24" s="1725">
        <f>'N_02 Vstupy'!$F$140*1.2</f>
        <v>445536</v>
      </c>
      <c r="P24" s="1727">
        <f t="shared" si="7"/>
        <v>3452904</v>
      </c>
      <c r="Q24" s="46">
        <f t="shared" si="3"/>
        <v>0</v>
      </c>
      <c r="R24" s="1222">
        <f>SUM(F24:G24,H24*1/3)</f>
        <v>111384</v>
      </c>
      <c r="S24" s="1777">
        <f>R24/1.2</f>
        <v>92820</v>
      </c>
      <c r="T24" s="1777">
        <f>S24*0.2</f>
        <v>18564</v>
      </c>
      <c r="U24" s="1606">
        <f t="shared" si="16"/>
        <v>3.2258064516129031E-2</v>
      </c>
      <c r="V24" s="1700">
        <f>H24*2/3</f>
        <v>222768</v>
      </c>
      <c r="W24" s="1700">
        <f>SUM(I24:O24)</f>
        <v>3118752</v>
      </c>
      <c r="X24" s="1012">
        <f>SUM(H24*2/3,I24:O24)</f>
        <v>3341520</v>
      </c>
      <c r="Y24" s="1617">
        <f t="shared" si="17"/>
        <v>0.967741935483871</v>
      </c>
      <c r="Z24" s="1009"/>
      <c r="AA24" s="1616">
        <f t="shared" si="4"/>
        <v>0</v>
      </c>
      <c r="AB24" s="1008"/>
      <c r="AC24" s="1019"/>
      <c r="AE24" s="46">
        <f t="shared" si="18"/>
        <v>0</v>
      </c>
      <c r="AG24" s="1792">
        <f t="shared" si="19"/>
        <v>185640</v>
      </c>
      <c r="AH24" s="1793">
        <f t="shared" si="20"/>
        <v>37128</v>
      </c>
      <c r="AI24" s="1793">
        <f t="shared" si="21"/>
        <v>2598960</v>
      </c>
      <c r="AJ24" s="1793">
        <f t="shared" si="22"/>
        <v>519792</v>
      </c>
    </row>
    <row r="25" spans="2:36" outlineLevel="1">
      <c r="B25" s="1007" t="s">
        <v>5</v>
      </c>
      <c r="C25" s="1008" t="s">
        <v>208</v>
      </c>
      <c r="D25" s="1008" t="s">
        <v>1562</v>
      </c>
      <c r="E25" s="1008" t="s">
        <v>0</v>
      </c>
      <c r="F25" s="1725"/>
      <c r="G25" s="1725"/>
      <c r="H25" s="1725"/>
      <c r="I25" s="1725"/>
      <c r="J25" s="1725"/>
      <c r="K25" s="1725"/>
      <c r="L25" s="1725"/>
      <c r="M25" s="1725"/>
      <c r="N25" s="1725"/>
      <c r="O25" s="1725"/>
      <c r="P25" s="1727">
        <f t="shared" si="7"/>
        <v>0</v>
      </c>
      <c r="Q25" s="46">
        <f t="shared" si="3"/>
        <v>0</v>
      </c>
      <c r="R25" s="1016">
        <f>SUM(F25:G25,H25/2)</f>
        <v>0</v>
      </c>
      <c r="S25" s="1775"/>
      <c r="T25" s="1775"/>
      <c r="U25" s="1605"/>
      <c r="V25" s="1605"/>
      <c r="W25" s="1605"/>
      <c r="X25" s="1009">
        <f>SUM(H25/2,I25:O25)</f>
        <v>0</v>
      </c>
      <c r="Y25" s="1616"/>
      <c r="Z25" s="1009"/>
      <c r="AA25" s="1616" t="e">
        <f t="shared" si="4"/>
        <v>#DIV/0!</v>
      </c>
      <c r="AB25" s="1008"/>
      <c r="AC25" s="1019"/>
      <c r="AE25" s="46">
        <f t="shared" si="18"/>
        <v>0</v>
      </c>
      <c r="AG25" s="1792">
        <f t="shared" si="19"/>
        <v>0</v>
      </c>
      <c r="AH25" s="1792">
        <f t="shared" si="20"/>
        <v>0</v>
      </c>
      <c r="AI25" s="1792">
        <f t="shared" si="21"/>
        <v>0</v>
      </c>
      <c r="AJ25" s="1792">
        <f t="shared" si="22"/>
        <v>0</v>
      </c>
    </row>
    <row r="26" spans="2:36" outlineLevel="1">
      <c r="B26" s="1007" t="s">
        <v>5</v>
      </c>
      <c r="C26" s="1008" t="s">
        <v>208</v>
      </c>
      <c r="D26" s="1008" t="s">
        <v>1563</v>
      </c>
      <c r="E26" s="1011" t="s">
        <v>0</v>
      </c>
      <c r="F26" s="1725"/>
      <c r="G26" s="1725"/>
      <c r="H26" s="1725">
        <f>'N_02 Vstupy'!C154</f>
        <v>61069.708658481672</v>
      </c>
      <c r="I26" s="1725">
        <f>'N_02 Vstupy'!D154</f>
        <v>251898.97905176392</v>
      </c>
      <c r="J26" s="1725">
        <f>'N_02 Vstupy'!E154</f>
        <v>386927.82775829965</v>
      </c>
      <c r="K26" s="1725">
        <f>'N_02 Vstupy'!F154</f>
        <v>513602.59687270818</v>
      </c>
      <c r="L26" s="1725">
        <f>'N_02 Vstupy'!G154</f>
        <v>642794.70598312526</v>
      </c>
      <c r="M26" s="1725">
        <f>'N_02 Vstupy'!H154</f>
        <v>774630.35969286261</v>
      </c>
      <c r="N26" s="1725">
        <f>'N_02 Vstupy'!I154</f>
        <v>909240.54922972014</v>
      </c>
      <c r="O26" s="1725">
        <f>'N_02 Vstupy'!J154</f>
        <v>1046761.4031450959</v>
      </c>
      <c r="P26" s="1727">
        <f t="shared" si="7"/>
        <v>4586926.1303920578</v>
      </c>
      <c r="Q26" s="46">
        <f t="shared" si="3"/>
        <v>0</v>
      </c>
      <c r="R26" s="1222">
        <v>0</v>
      </c>
      <c r="S26" s="1777"/>
      <c r="T26" s="1777"/>
      <c r="U26" s="1606">
        <f>R26/P26</f>
        <v>0</v>
      </c>
      <c r="V26" s="1606"/>
      <c r="W26" s="1606"/>
      <c r="X26" s="1012">
        <v>0</v>
      </c>
      <c r="Y26" s="1617">
        <f>X26/P26</f>
        <v>0</v>
      </c>
      <c r="Z26" s="1012">
        <f>SUM(H26:O26)</f>
        <v>4586926.1303920578</v>
      </c>
      <c r="AA26" s="1617">
        <f t="shared" si="4"/>
        <v>1</v>
      </c>
      <c r="AB26" s="1008"/>
      <c r="AC26" s="1019"/>
      <c r="AE26" s="46">
        <f t="shared" si="18"/>
        <v>-4586926.1303920578</v>
      </c>
      <c r="AG26" s="1792">
        <f t="shared" si="19"/>
        <v>0</v>
      </c>
      <c r="AH26" s="1793">
        <f t="shared" si="20"/>
        <v>0</v>
      </c>
      <c r="AI26" s="1793">
        <f t="shared" si="21"/>
        <v>0</v>
      </c>
      <c r="AJ26" s="1793">
        <f t="shared" si="22"/>
        <v>0</v>
      </c>
    </row>
    <row r="27" spans="2:36" outlineLevel="1">
      <c r="B27" s="1002"/>
      <c r="C27" s="1003" t="s">
        <v>1372</v>
      </c>
      <c r="D27" s="1004"/>
      <c r="E27" s="1004"/>
      <c r="F27" s="1723">
        <f>SUM(F28:F31)</f>
        <v>395529.45</v>
      </c>
      <c r="G27" s="1723">
        <f t="shared" ref="G27:O27" si="23">SUM(G28:G31)</f>
        <v>929551.95</v>
      </c>
      <c r="H27" s="1723">
        <f t="shared" si="23"/>
        <v>1171684.95</v>
      </c>
      <c r="I27" s="1723">
        <f t="shared" si="23"/>
        <v>720027</v>
      </c>
      <c r="J27" s="1723">
        <f t="shared" si="23"/>
        <v>720027</v>
      </c>
      <c r="K27" s="1723">
        <f t="shared" si="23"/>
        <v>669351</v>
      </c>
      <c r="L27" s="1723">
        <f t="shared" si="23"/>
        <v>669351</v>
      </c>
      <c r="M27" s="1723">
        <f t="shared" si="23"/>
        <v>669351</v>
      </c>
      <c r="N27" s="1723">
        <f t="shared" si="23"/>
        <v>669351</v>
      </c>
      <c r="O27" s="1723">
        <f t="shared" si="23"/>
        <v>669351</v>
      </c>
      <c r="P27" s="1724">
        <f t="shared" si="7"/>
        <v>7283575.3499999996</v>
      </c>
      <c r="Q27" s="46">
        <f t="shared" si="3"/>
        <v>0</v>
      </c>
      <c r="R27" s="1007"/>
      <c r="S27" s="1776"/>
      <c r="T27" s="1776"/>
      <c r="U27" s="1605"/>
      <c r="V27" s="1605"/>
      <c r="W27" s="1605"/>
      <c r="X27" s="1009"/>
      <c r="Y27" s="1616"/>
      <c r="Z27" s="1009"/>
      <c r="AA27" s="1616">
        <f t="shared" si="4"/>
        <v>0</v>
      </c>
      <c r="AB27" s="1008"/>
      <c r="AC27" s="1019"/>
      <c r="AE27" s="46"/>
      <c r="AG27" s="1792">
        <f t="shared" si="19"/>
        <v>0</v>
      </c>
      <c r="AH27" s="1792">
        <f t="shared" si="20"/>
        <v>0</v>
      </c>
      <c r="AI27" s="1792">
        <f t="shared" si="21"/>
        <v>0</v>
      </c>
      <c r="AJ27" s="1792">
        <f t="shared" si="22"/>
        <v>0</v>
      </c>
    </row>
    <row r="28" spans="2:36" outlineLevel="1">
      <c r="B28" s="1007" t="s">
        <v>5</v>
      </c>
      <c r="C28" s="1008" t="s">
        <v>209</v>
      </c>
      <c r="D28" s="1008" t="s">
        <v>210</v>
      </c>
      <c r="E28" s="1008" t="s">
        <v>0</v>
      </c>
      <c r="F28" s="1725">
        <f>'N_02 Vstupy'!$C$54</f>
        <v>69264</v>
      </c>
      <c r="G28" s="1725">
        <f>'N_02 Vstupy'!$D$54</f>
        <v>138528</v>
      </c>
      <c r="H28" s="1725">
        <f>'N_02 Vstupy'!$E$54</f>
        <v>138528</v>
      </c>
      <c r="I28" s="1725">
        <f>'N_02 Vstupy'!$F$54</f>
        <v>92352</v>
      </c>
      <c r="J28" s="1725">
        <f>'N_02 Vstupy'!$G$54</f>
        <v>92352</v>
      </c>
      <c r="K28" s="1725">
        <f>'N_02 Vstupy'!$H$54</f>
        <v>46176</v>
      </c>
      <c r="L28" s="1725">
        <f>'N_02 Vstupy'!$I$54</f>
        <v>46176</v>
      </c>
      <c r="M28" s="1725">
        <f>'N_02 Vstupy'!$J$54</f>
        <v>46176</v>
      </c>
      <c r="N28" s="1725">
        <f>'N_02 Vstupy'!$K$54</f>
        <v>46176</v>
      </c>
      <c r="O28" s="1725">
        <f>'N_02 Vstupy'!$L$54</f>
        <v>46176</v>
      </c>
      <c r="P28" s="1727">
        <f t="shared" si="7"/>
        <v>761904</v>
      </c>
      <c r="Q28" s="46">
        <f t="shared" si="3"/>
        <v>0</v>
      </c>
      <c r="R28" s="1016">
        <f>SUM(F28:G28,H28/2)</f>
        <v>277056</v>
      </c>
      <c r="S28" s="1775">
        <f>R28</f>
        <v>277056</v>
      </c>
      <c r="T28" s="1775"/>
      <c r="U28" s="1605">
        <f>R28/P28</f>
        <v>0.36363636363636365</v>
      </c>
      <c r="V28" s="1699">
        <f>H28/2</f>
        <v>69264</v>
      </c>
      <c r="W28" s="1699">
        <f>SUM(I28:O28)</f>
        <v>415584</v>
      </c>
      <c r="X28" s="1009">
        <f>SUM(H28/2,I28:O28)</f>
        <v>484848</v>
      </c>
      <c r="Y28" s="1616">
        <f>X28/P28</f>
        <v>0.63636363636363635</v>
      </c>
      <c r="Z28" s="1009"/>
      <c r="AA28" s="1616">
        <f t="shared" si="4"/>
        <v>0</v>
      </c>
      <c r="AB28" s="1008"/>
      <c r="AC28" s="1019"/>
      <c r="AE28" s="46">
        <f>SUM(R28,X28)-P28</f>
        <v>0</v>
      </c>
      <c r="AG28" s="1796">
        <f>V28</f>
        <v>69264</v>
      </c>
      <c r="AH28" s="1796"/>
      <c r="AI28" s="1796">
        <f>W28</f>
        <v>415584</v>
      </c>
      <c r="AJ28" s="1796"/>
    </row>
    <row r="29" spans="2:36" outlineLevel="1">
      <c r="B29" s="1007" t="s">
        <v>5</v>
      </c>
      <c r="C29" s="1008" t="s">
        <v>1575</v>
      </c>
      <c r="D29" s="1008" t="s">
        <v>404</v>
      </c>
      <c r="E29" s="1008" t="s">
        <v>0</v>
      </c>
      <c r="F29" s="1725">
        <f>'N_02 Vstupy'!$C$58</f>
        <v>300165.45</v>
      </c>
      <c r="G29" s="1725">
        <f>'N_02 Vstupy'!$D$58</f>
        <v>731173.95</v>
      </c>
      <c r="H29" s="1725">
        <f>'N_02 Vstupy'!$E$58</f>
        <v>377131.95</v>
      </c>
      <c r="I29" s="1725">
        <f>'N_02 Vstupy'!$F$58</f>
        <v>0</v>
      </c>
      <c r="J29" s="1725">
        <f>'N_02 Vstupy'!$G$58</f>
        <v>0</v>
      </c>
      <c r="K29" s="1725">
        <f>'N_02 Vstupy'!$H$58</f>
        <v>0</v>
      </c>
      <c r="L29" s="1725">
        <f>'N_02 Vstupy'!$I$58</f>
        <v>0</v>
      </c>
      <c r="M29" s="1725">
        <f>'N_02 Vstupy'!$J$58</f>
        <v>0</v>
      </c>
      <c r="N29" s="1725">
        <f>'N_02 Vstupy'!$K$58</f>
        <v>0</v>
      </c>
      <c r="O29" s="1725">
        <f>'N_02 Vstupy'!$L$58</f>
        <v>0</v>
      </c>
      <c r="P29" s="1727">
        <f t="shared" si="7"/>
        <v>1408471.3499999999</v>
      </c>
      <c r="Q29" s="46">
        <f t="shared" si="3"/>
        <v>0</v>
      </c>
      <c r="R29" s="1016">
        <f>SUM(F29:G29,H29)</f>
        <v>1408471.3499999999</v>
      </c>
      <c r="S29" s="1775">
        <f t="shared" ref="S29:S30" si="24">R29</f>
        <v>1408471.3499999999</v>
      </c>
      <c r="T29" s="1775"/>
      <c r="U29" s="1605">
        <f>R29/P29</f>
        <v>1</v>
      </c>
      <c r="V29" s="1699"/>
      <c r="W29" s="1699"/>
      <c r="X29" s="1009">
        <f>SUM(I29:O29)</f>
        <v>0</v>
      </c>
      <c r="Y29" s="1616">
        <f>X29/P29</f>
        <v>0</v>
      </c>
      <c r="Z29" s="1009"/>
      <c r="AA29" s="1616">
        <f t="shared" si="4"/>
        <v>0</v>
      </c>
      <c r="AB29" s="1008"/>
      <c r="AC29" s="1019"/>
      <c r="AE29" s="46">
        <f>SUM(R29,X29)-P29</f>
        <v>0</v>
      </c>
      <c r="AG29" s="1796">
        <f t="shared" ref="AG29:AG30" si="25">V29</f>
        <v>0</v>
      </c>
      <c r="AH29" s="1796"/>
      <c r="AI29" s="1796">
        <f t="shared" ref="AI29:AI30" si="26">W29</f>
        <v>0</v>
      </c>
      <c r="AJ29" s="1796"/>
    </row>
    <row r="30" spans="2:36" outlineLevel="1">
      <c r="B30" s="1007" t="s">
        <v>5</v>
      </c>
      <c r="C30" s="1008" t="s">
        <v>1575</v>
      </c>
      <c r="D30" s="1008" t="s">
        <v>402</v>
      </c>
      <c r="E30" s="1008" t="s">
        <v>0</v>
      </c>
      <c r="F30" s="1725">
        <f>'N_02 Vstupy'!$C$68</f>
        <v>0</v>
      </c>
      <c r="G30" s="1725">
        <f>'N_02 Vstupy'!$D$68</f>
        <v>0</v>
      </c>
      <c r="H30" s="1725">
        <f>'N_02 Vstupy'!E$68</f>
        <v>578175</v>
      </c>
      <c r="I30" s="1725">
        <f>'N_02 Vstupy'!$F$68</f>
        <v>578175</v>
      </c>
      <c r="J30" s="1725">
        <f>'N_02 Vstupy'!$G$68</f>
        <v>578175</v>
      </c>
      <c r="K30" s="1725">
        <f>'N_02 Vstupy'!$H$68</f>
        <v>578175</v>
      </c>
      <c r="L30" s="1725">
        <f>'N_02 Vstupy'!$I$68</f>
        <v>578175</v>
      </c>
      <c r="M30" s="1725">
        <f>'N_02 Vstupy'!$J$68</f>
        <v>578175</v>
      </c>
      <c r="N30" s="1725">
        <f>'N_02 Vstupy'!$K$68</f>
        <v>578175</v>
      </c>
      <c r="O30" s="1725">
        <f>'N_02 Vstupy'!$L$68</f>
        <v>578175</v>
      </c>
      <c r="P30" s="1727">
        <f t="shared" si="7"/>
        <v>4625400</v>
      </c>
      <c r="Q30" s="46">
        <f t="shared" si="3"/>
        <v>0</v>
      </c>
      <c r="R30" s="1016">
        <f>SUM(F30:G30,H30/2)</f>
        <v>289087.5</v>
      </c>
      <c r="S30" s="1775">
        <f t="shared" si="24"/>
        <v>289087.5</v>
      </c>
      <c r="T30" s="1775"/>
      <c r="U30" s="1605">
        <f>R30/P30</f>
        <v>6.25E-2</v>
      </c>
      <c r="V30" s="1699">
        <f>H30/2</f>
        <v>289087.5</v>
      </c>
      <c r="W30" s="1699">
        <f>SUM(I30:O30)</f>
        <v>4047225</v>
      </c>
      <c r="X30" s="1009">
        <f>SUM(H30/2,I30:O30)</f>
        <v>4336312.5</v>
      </c>
      <c r="Y30" s="1616">
        <f>X30/P30</f>
        <v>0.9375</v>
      </c>
      <c r="Z30" s="1009"/>
      <c r="AA30" s="1616">
        <f t="shared" si="4"/>
        <v>0</v>
      </c>
      <c r="AB30" s="1008"/>
      <c r="AC30" s="1019"/>
      <c r="AE30" s="46">
        <f>SUM(R30,X30)-P30</f>
        <v>0</v>
      </c>
      <c r="AG30" s="1796">
        <f t="shared" si="25"/>
        <v>289087.5</v>
      </c>
      <c r="AH30" s="1796"/>
      <c r="AI30" s="1796">
        <f t="shared" si="26"/>
        <v>4047225</v>
      </c>
      <c r="AJ30" s="1796"/>
    </row>
    <row r="31" spans="2:36" outlineLevel="1">
      <c r="B31" s="1007" t="s">
        <v>5</v>
      </c>
      <c r="C31" s="1008" t="s">
        <v>209</v>
      </c>
      <c r="D31" s="1008" t="s">
        <v>1851</v>
      </c>
      <c r="E31" s="1008" t="s">
        <v>0</v>
      </c>
      <c r="F31" s="1716">
        <f>'N_02 Vstupy'!C74*1.2</f>
        <v>26100</v>
      </c>
      <c r="G31" s="1716">
        <f>'N_02 Vstupy'!D74*1.2</f>
        <v>59850</v>
      </c>
      <c r="H31" s="1716">
        <f>'N_02 Vstupy'!E74*1.2</f>
        <v>77850</v>
      </c>
      <c r="I31" s="1716">
        <f>'N_02 Vstupy'!F74*1.2</f>
        <v>49500</v>
      </c>
      <c r="J31" s="1716">
        <f>'N_02 Vstupy'!G74*1.2</f>
        <v>49500</v>
      </c>
      <c r="K31" s="1716">
        <f>'N_02 Vstupy'!H74*1.2</f>
        <v>45000</v>
      </c>
      <c r="L31" s="1716">
        <f>'N_02 Vstupy'!I74*1.2</f>
        <v>45000</v>
      </c>
      <c r="M31" s="1716">
        <f>'N_02 Vstupy'!J74*1.2</f>
        <v>45000</v>
      </c>
      <c r="N31" s="1716">
        <f>'N_02 Vstupy'!K74*1.2</f>
        <v>45000</v>
      </c>
      <c r="O31" s="1716">
        <f>'N_02 Vstupy'!L74*1.2</f>
        <v>45000</v>
      </c>
      <c r="P31" s="1732">
        <f>SUM(F31:O31)</f>
        <v>487800</v>
      </c>
      <c r="Q31" s="46">
        <f t="shared" si="3"/>
        <v>0</v>
      </c>
      <c r="R31" s="1016">
        <f>SUM(F31:G31,H31/2)</f>
        <v>124875</v>
      </c>
      <c r="S31" s="1775">
        <f>R31/1.2</f>
        <v>104062.5</v>
      </c>
      <c r="T31" s="1775">
        <f>S31*0.2</f>
        <v>20812.5</v>
      </c>
      <c r="U31" s="1605">
        <f>R31/P31</f>
        <v>0.25599630996309963</v>
      </c>
      <c r="V31" s="1699">
        <f>H31/2</f>
        <v>38925</v>
      </c>
      <c r="W31" s="1699">
        <f>SUM(I31:O31)</f>
        <v>324000</v>
      </c>
      <c r="X31" s="1009">
        <f>SUM(H31/2,I31:O31)</f>
        <v>362925</v>
      </c>
      <c r="Y31" s="1616">
        <f>X31/P31</f>
        <v>0.74400369003690037</v>
      </c>
      <c r="Z31" s="1009"/>
      <c r="AA31" s="1616">
        <f t="shared" si="4"/>
        <v>0</v>
      </c>
      <c r="AB31" s="1008"/>
      <c r="AC31" s="1019"/>
      <c r="AE31" s="46">
        <f>SUM(R31,X31)-P31</f>
        <v>0</v>
      </c>
      <c r="AG31" s="1792">
        <f t="shared" si="19"/>
        <v>32437.5</v>
      </c>
      <c r="AH31" s="1792">
        <f t="shared" si="20"/>
        <v>6487.5</v>
      </c>
      <c r="AI31" s="1792">
        <f t="shared" si="21"/>
        <v>270000</v>
      </c>
      <c r="AJ31" s="1792">
        <f t="shared" si="22"/>
        <v>54000</v>
      </c>
    </row>
    <row r="32" spans="2:36" outlineLevel="1">
      <c r="B32" s="1002"/>
      <c r="C32" s="1003" t="s">
        <v>1843</v>
      </c>
      <c r="D32" s="1004"/>
      <c r="E32" s="1004"/>
      <c r="F32" s="1723">
        <f>SUM(F33)</f>
        <v>594432</v>
      </c>
      <c r="G32" s="1723">
        <f t="shared" ref="G32:O32" si="27">SUM(G33)</f>
        <v>1188864</v>
      </c>
      <c r="H32" s="1723">
        <f t="shared" si="27"/>
        <v>1188864</v>
      </c>
      <c r="I32" s="1723">
        <f t="shared" si="27"/>
        <v>0</v>
      </c>
      <c r="J32" s="1723">
        <f t="shared" si="27"/>
        <v>0</v>
      </c>
      <c r="K32" s="1723">
        <f t="shared" si="27"/>
        <v>0</v>
      </c>
      <c r="L32" s="1723">
        <f t="shared" si="27"/>
        <v>0</v>
      </c>
      <c r="M32" s="1723">
        <f t="shared" si="27"/>
        <v>0</v>
      </c>
      <c r="N32" s="1723">
        <f t="shared" si="27"/>
        <v>0</v>
      </c>
      <c r="O32" s="1723">
        <f t="shared" si="27"/>
        <v>0</v>
      </c>
      <c r="P32" s="1724">
        <f t="shared" si="7"/>
        <v>2972160</v>
      </c>
      <c r="Q32" s="46">
        <f t="shared" si="3"/>
        <v>0</v>
      </c>
      <c r="R32" s="1007"/>
      <c r="S32" s="1776"/>
      <c r="T32" s="1776"/>
      <c r="U32" s="1605"/>
      <c r="V32" s="1699"/>
      <c r="W32" s="1699"/>
      <c r="X32" s="1009"/>
      <c r="Y32" s="1616"/>
      <c r="Z32" s="1009"/>
      <c r="AA32" s="1616">
        <f t="shared" si="4"/>
        <v>0</v>
      </c>
      <c r="AB32" s="1008"/>
      <c r="AC32" s="1019"/>
      <c r="AE32" s="46"/>
      <c r="AG32" s="1792">
        <f t="shared" si="19"/>
        <v>0</v>
      </c>
      <c r="AH32" s="1792">
        <f t="shared" si="20"/>
        <v>0</v>
      </c>
      <c r="AI32" s="1792">
        <f t="shared" si="21"/>
        <v>0</v>
      </c>
      <c r="AJ32" s="1792">
        <f t="shared" si="22"/>
        <v>0</v>
      </c>
    </row>
    <row r="33" spans="2:36" outlineLevel="1">
      <c r="B33" s="1007" t="s">
        <v>5</v>
      </c>
      <c r="C33" s="1008" t="s">
        <v>209</v>
      </c>
      <c r="D33" s="1008" t="s">
        <v>1844</v>
      </c>
      <c r="E33" s="1008" t="s">
        <v>0</v>
      </c>
      <c r="F33" s="1725">
        <f>'N_02 Vstupy'!$D$102*1.2</f>
        <v>594432</v>
      </c>
      <c r="G33" s="1725">
        <f>'N_02 Vstupy'!$F$102*1.2</f>
        <v>1188864</v>
      </c>
      <c r="H33" s="1725">
        <f>'N_02 Vstupy'!$H$102*1.2</f>
        <v>1188864</v>
      </c>
      <c r="I33" s="1725">
        <f>'N_02 Vstupy'!$J$102*1.2</f>
        <v>0</v>
      </c>
      <c r="J33" s="1725"/>
      <c r="K33" s="1725"/>
      <c r="L33" s="1725"/>
      <c r="M33" s="1725"/>
      <c r="N33" s="1725"/>
      <c r="O33" s="1725"/>
      <c r="P33" s="1727">
        <f t="shared" si="7"/>
        <v>2972160</v>
      </c>
      <c r="Q33" s="46">
        <f t="shared" si="3"/>
        <v>0</v>
      </c>
      <c r="R33" s="1016">
        <f>SUM(F33:G33,H33)</f>
        <v>2972160</v>
      </c>
      <c r="S33" s="1775">
        <f>R33/1.2</f>
        <v>2476800</v>
      </c>
      <c r="T33" s="1775">
        <f>S33*0.2</f>
        <v>495360</v>
      </c>
      <c r="U33" s="1605">
        <f>R33/P33</f>
        <v>1</v>
      </c>
      <c r="V33" s="1699"/>
      <c r="W33" s="1699"/>
      <c r="X33" s="1009"/>
      <c r="Y33" s="1616">
        <f>X33/P33</f>
        <v>0</v>
      </c>
      <c r="Z33" s="1009"/>
      <c r="AA33" s="1616">
        <f t="shared" si="4"/>
        <v>0</v>
      </c>
      <c r="AB33" s="1008"/>
      <c r="AC33" s="1019"/>
      <c r="AE33" s="46">
        <f>SUM(R33,X33)-P33</f>
        <v>0</v>
      </c>
      <c r="AG33" s="1792">
        <f t="shared" si="19"/>
        <v>0</v>
      </c>
      <c r="AH33" s="1792">
        <f t="shared" si="20"/>
        <v>0</v>
      </c>
      <c r="AI33" s="1792">
        <f t="shared" si="21"/>
        <v>0</v>
      </c>
      <c r="AJ33" s="1792">
        <f t="shared" si="22"/>
        <v>0</v>
      </c>
    </row>
    <row r="34" spans="2:36" outlineLevel="1">
      <c r="B34" s="1002"/>
      <c r="C34" s="1003" t="s">
        <v>1373</v>
      </c>
      <c r="D34" s="1004"/>
      <c r="E34" s="1004"/>
      <c r="F34" s="1723">
        <f>SUM(F35)</f>
        <v>0</v>
      </c>
      <c r="G34" s="1723">
        <f t="shared" ref="G34:O34" si="28">SUM(G35)</f>
        <v>478884</v>
      </c>
      <c r="H34" s="1723">
        <f t="shared" si="28"/>
        <v>1915536</v>
      </c>
      <c r="I34" s="1723">
        <f t="shared" si="28"/>
        <v>60000</v>
      </c>
      <c r="J34" s="1723">
        <f t="shared" si="28"/>
        <v>60000</v>
      </c>
      <c r="K34" s="1723">
        <f t="shared" si="28"/>
        <v>0</v>
      </c>
      <c r="L34" s="1723">
        <f t="shared" si="28"/>
        <v>0</v>
      </c>
      <c r="M34" s="1723">
        <f t="shared" si="28"/>
        <v>0</v>
      </c>
      <c r="N34" s="1723">
        <f t="shared" si="28"/>
        <v>0</v>
      </c>
      <c r="O34" s="1723">
        <f t="shared" si="28"/>
        <v>0</v>
      </c>
      <c r="P34" s="1724">
        <f t="shared" si="7"/>
        <v>2514420</v>
      </c>
      <c r="Q34" s="46">
        <f t="shared" si="3"/>
        <v>0</v>
      </c>
      <c r="R34" s="1007"/>
      <c r="S34" s="1776"/>
      <c r="T34" s="1776"/>
      <c r="U34" s="1605"/>
      <c r="V34" s="1699"/>
      <c r="W34" s="1699"/>
      <c r="X34" s="1009"/>
      <c r="Y34" s="1616"/>
      <c r="Z34" s="1009"/>
      <c r="AA34" s="1616">
        <f t="shared" si="4"/>
        <v>0</v>
      </c>
      <c r="AB34" s="1008"/>
      <c r="AC34" s="1019"/>
      <c r="AE34" s="46"/>
      <c r="AG34" s="1792">
        <f t="shared" si="19"/>
        <v>0</v>
      </c>
      <c r="AH34" s="1792">
        <f t="shared" si="20"/>
        <v>0</v>
      </c>
      <c r="AI34" s="1792">
        <f t="shared" si="21"/>
        <v>0</v>
      </c>
      <c r="AJ34" s="1792">
        <f t="shared" si="22"/>
        <v>0</v>
      </c>
    </row>
    <row r="35" spans="2:36" ht="12.75" outlineLevel="1" thickBot="1">
      <c r="B35" s="1013" t="s">
        <v>5</v>
      </c>
      <c r="C35" s="1014" t="s">
        <v>1431</v>
      </c>
      <c r="D35" s="1014" t="s">
        <v>1431</v>
      </c>
      <c r="E35" s="1014" t="s">
        <v>0</v>
      </c>
      <c r="F35" s="1728"/>
      <c r="G35" s="1728">
        <f>'N_02 Vstupy'!$C$113*1.2</f>
        <v>478884</v>
      </c>
      <c r="H35" s="1728">
        <f>'N_02 Vstupy'!$D$113*1.2</f>
        <v>1915536</v>
      </c>
      <c r="I35" s="1728">
        <f>'N_02 Vstupy'!$E$113*1.2</f>
        <v>60000</v>
      </c>
      <c r="J35" s="1728">
        <f>'N_02 Vstupy'!$F$113*1.2</f>
        <v>60000</v>
      </c>
      <c r="K35" s="1728"/>
      <c r="L35" s="1728"/>
      <c r="M35" s="1728"/>
      <c r="N35" s="1728"/>
      <c r="O35" s="1728"/>
      <c r="P35" s="1729">
        <f t="shared" si="7"/>
        <v>2514420</v>
      </c>
      <c r="Q35" s="46">
        <f t="shared" si="3"/>
        <v>0</v>
      </c>
      <c r="R35" s="1020">
        <f>SUM(F35:G35,H35)</f>
        <v>2394420</v>
      </c>
      <c r="S35" s="1779">
        <f>R35/1.2</f>
        <v>1995350</v>
      </c>
      <c r="T35" s="1779">
        <f>S35*0.2</f>
        <v>399070</v>
      </c>
      <c r="U35" s="1608">
        <f>R35/P35</f>
        <v>0.95227527620683894</v>
      </c>
      <c r="V35" s="1702"/>
      <c r="W35" s="1702">
        <f>SUM(I35:J35)</f>
        <v>120000</v>
      </c>
      <c r="X35" s="1015">
        <f>SUM(I35:J35)</f>
        <v>120000</v>
      </c>
      <c r="Y35" s="1619">
        <f>X35/P35</f>
        <v>4.7724723793161047E-2</v>
      </c>
      <c r="Z35" s="1015"/>
      <c r="AA35" s="1619">
        <f t="shared" si="4"/>
        <v>0</v>
      </c>
      <c r="AB35" s="1014"/>
      <c r="AC35" s="1021"/>
      <c r="AE35" s="46">
        <f>SUM(R35,X35)-P35</f>
        <v>0</v>
      </c>
      <c r="AG35" s="1795">
        <f t="shared" si="19"/>
        <v>0</v>
      </c>
      <c r="AH35" s="1795">
        <f t="shared" si="20"/>
        <v>0</v>
      </c>
      <c r="AI35" s="1795">
        <f t="shared" si="21"/>
        <v>100000</v>
      </c>
      <c r="AJ35" s="1795">
        <f t="shared" si="22"/>
        <v>20000</v>
      </c>
    </row>
    <row r="36" spans="2:36" outlineLevel="1">
      <c r="F36" s="1783"/>
      <c r="G36" s="1783"/>
      <c r="H36" s="1783"/>
      <c r="I36" s="1783"/>
      <c r="J36" s="1783"/>
      <c r="K36" s="1783"/>
      <c r="L36" s="1783"/>
      <c r="M36" s="1783"/>
      <c r="N36" s="1783"/>
      <c r="O36" s="1783"/>
      <c r="P36" s="1784"/>
      <c r="Q36" s="46"/>
      <c r="R36" s="46"/>
      <c r="S36" s="46"/>
      <c r="T36" s="46"/>
      <c r="V36" s="1785"/>
      <c r="W36" s="1785"/>
      <c r="X36" s="46"/>
      <c r="Z36" s="46"/>
      <c r="AE36" s="46"/>
    </row>
    <row r="37" spans="2:36" outlineLevel="1">
      <c r="F37" s="1783"/>
      <c r="G37" s="1783"/>
      <c r="H37" s="1783"/>
      <c r="I37" s="1783"/>
      <c r="J37" s="1783"/>
      <c r="K37" s="1783"/>
      <c r="L37" s="1783"/>
      <c r="M37" s="1783"/>
      <c r="N37" s="1783"/>
      <c r="O37" s="1783"/>
      <c r="P37" s="1784"/>
      <c r="Q37" s="46"/>
      <c r="R37" s="1704">
        <f>26600000-SUM(R41,R53)</f>
        <v>-4833261.25</v>
      </c>
      <c r="S37" s="1704">
        <f>26600000-SUM(S41,S53)</f>
        <v>76513.14999999851</v>
      </c>
      <c r="T37" s="46">
        <f>S37*1.2</f>
        <v>91815.779999998209</v>
      </c>
      <c r="V37" s="1785">
        <f>26600000-S40</f>
        <v>76513.14999999851</v>
      </c>
      <c r="W37" s="1785"/>
      <c r="X37" s="46"/>
      <c r="Z37" s="46"/>
      <c r="AE37" s="46"/>
    </row>
    <row r="38" spans="2:36" outlineLevel="1">
      <c r="P38" s="953"/>
      <c r="R38" s="46" t="s">
        <v>1899</v>
      </c>
      <c r="S38" s="46" t="s">
        <v>1901</v>
      </c>
      <c r="T38" s="46" t="s">
        <v>1902</v>
      </c>
      <c r="V38" s="1601" t="s">
        <v>1903</v>
      </c>
      <c r="X38" s="46"/>
      <c r="Z38" s="46"/>
    </row>
    <row r="39" spans="2:36" ht="12.75" outlineLevel="1" thickBot="1">
      <c r="H39" s="46">
        <f>F40+G40+H40</f>
        <v>33057013.160880439</v>
      </c>
      <c r="P39" s="953"/>
      <c r="R39" s="22" t="s">
        <v>1900</v>
      </c>
      <c r="S39" s="1704" t="s">
        <v>478</v>
      </c>
      <c r="T39" s="1704" t="s">
        <v>1904</v>
      </c>
      <c r="U39" s="1601">
        <f>S37/26600000</f>
        <v>2.8764342105262598E-3</v>
      </c>
      <c r="V39" s="1704" t="s">
        <v>1905</v>
      </c>
      <c r="W39" s="1704" t="s">
        <v>1905</v>
      </c>
      <c r="X39" s="1704" t="s">
        <v>1905</v>
      </c>
      <c r="Z39" s="46" t="s">
        <v>207</v>
      </c>
    </row>
    <row r="40" spans="2:36" customFormat="1" ht="15">
      <c r="B40" s="1030" t="s">
        <v>681</v>
      </c>
      <c r="C40" s="1031"/>
      <c r="D40" s="1031"/>
      <c r="E40" s="1031"/>
      <c r="F40" s="1717">
        <f t="shared" ref="F40:O40" si="29">SUM(F41,F53)</f>
        <v>989961.45</v>
      </c>
      <c r="G40" s="1717">
        <f t="shared" si="29"/>
        <v>10390003.949999999</v>
      </c>
      <c r="H40" s="1717">
        <f t="shared" si="29"/>
        <v>21677047.76088044</v>
      </c>
      <c r="I40" s="1717">
        <f t="shared" si="29"/>
        <v>3407341.5148270107</v>
      </c>
      <c r="J40" s="1717">
        <f t="shared" si="29"/>
        <v>3589230.4231871418</v>
      </c>
      <c r="K40" s="1717">
        <f t="shared" si="29"/>
        <v>3647513.8980876561</v>
      </c>
      <c r="L40" s="1717">
        <f t="shared" si="29"/>
        <v>4503830.7862682454</v>
      </c>
      <c r="M40" s="1717">
        <f t="shared" si="29"/>
        <v>4679673.3719967483</v>
      </c>
      <c r="N40" s="1717">
        <f t="shared" si="29"/>
        <v>4859216.3219301878</v>
      </c>
      <c r="O40" s="1717">
        <f t="shared" si="29"/>
        <v>5042641.1526538078</v>
      </c>
      <c r="P40" s="1718">
        <f>SUM(F40:O40)</f>
        <v>62786460.629831232</v>
      </c>
      <c r="Q40" s="46">
        <f>X40-W40-V40</f>
        <v>0</v>
      </c>
      <c r="R40" s="1034">
        <f>SUM(R41,R53)</f>
        <v>31433261.25</v>
      </c>
      <c r="S40" s="1786">
        <f t="shared" ref="S40:T40" si="30">SUM(S41,S53)</f>
        <v>26523486.850000001</v>
      </c>
      <c r="T40" s="1788">
        <f t="shared" si="30"/>
        <v>4909774.4000000004</v>
      </c>
      <c r="U40" s="1600">
        <f>R40/P40</f>
        <v>0.50063757272957932</v>
      </c>
      <c r="V40" s="1697">
        <f>SUM(V41,V53)</f>
        <v>1542105.3</v>
      </c>
      <c r="W40" s="1697">
        <f>SUM(W41,W53)</f>
        <v>23670412.199999999</v>
      </c>
      <c r="X40" s="1697">
        <f>SUM(X41,X53)</f>
        <v>25212517.5</v>
      </c>
      <c r="Y40" s="1614">
        <f>X40/P40</f>
        <v>0.40155978290677813</v>
      </c>
      <c r="Z40" s="1035">
        <f>IF(SUM(V41,V53)&gt;26600000,(SUM(Z41,Z53)+(SUM(V41,V53)-26600000)),SUM(Z41,Z53))</f>
        <v>6140681.8798312396</v>
      </c>
      <c r="AA40" s="1614">
        <f>Z40/P40</f>
        <v>9.7802644363642721E-2</v>
      </c>
      <c r="AB40" s="1036">
        <f>SUM(AB42:AB72)</f>
        <v>0</v>
      </c>
      <c r="AC40" s="1037">
        <f>SUM(AC42:AC72)</f>
        <v>0</v>
      </c>
      <c r="AD40" s="1038"/>
      <c r="AE40" s="1038">
        <f>SUM(R40,X40)-P40</f>
        <v>-6140681.8798312321</v>
      </c>
      <c r="AG40" s="1697">
        <f>SUM(AG41,AG53)</f>
        <v>1344813</v>
      </c>
      <c r="AH40" s="1697">
        <f t="shared" ref="AH40:AJ40" si="31">SUM(AH41,AH53)</f>
        <v>197292.3</v>
      </c>
      <c r="AI40" s="1697">
        <f t="shared" si="31"/>
        <v>20469145</v>
      </c>
      <c r="AJ40" s="1697">
        <f t="shared" si="31"/>
        <v>3201267.2</v>
      </c>
    </row>
    <row r="41" spans="2:36">
      <c r="B41" s="998" t="s">
        <v>1370</v>
      </c>
      <c r="C41" s="999"/>
      <c r="D41" s="999"/>
      <c r="E41" s="999"/>
      <c r="F41" s="1730">
        <f t="shared" ref="F41:O41" si="32">SUM(F42,F48,F51)</f>
        <v>0</v>
      </c>
      <c r="G41" s="1730">
        <f t="shared" si="32"/>
        <v>4372704</v>
      </c>
      <c r="H41" s="1730">
        <f t="shared" si="32"/>
        <v>16052073</v>
      </c>
      <c r="I41" s="1730">
        <f t="shared" si="32"/>
        <v>0</v>
      </c>
      <c r="J41" s="1730">
        <f t="shared" si="32"/>
        <v>0</v>
      </c>
      <c r="K41" s="1730">
        <f t="shared" si="32"/>
        <v>0</v>
      </c>
      <c r="L41" s="1730">
        <f t="shared" si="32"/>
        <v>0</v>
      </c>
      <c r="M41" s="1730">
        <f t="shared" si="32"/>
        <v>0</v>
      </c>
      <c r="N41" s="1730">
        <f t="shared" si="32"/>
        <v>0</v>
      </c>
      <c r="O41" s="1730">
        <f t="shared" si="32"/>
        <v>0</v>
      </c>
      <c r="P41" s="1731">
        <f>SUM(F41:O41)</f>
        <v>20424777</v>
      </c>
      <c r="Q41" s="46">
        <f t="shared" ref="Q41:Q72" si="33">X41-W41-V41</f>
        <v>0</v>
      </c>
      <c r="R41" s="1027">
        <f>SUM(R42:R52)</f>
        <v>20424777</v>
      </c>
      <c r="S41" s="1787">
        <f t="shared" ref="S41:T41" si="34">SUM(S42:S52)</f>
        <v>17020647.5</v>
      </c>
      <c r="T41" s="1789">
        <f t="shared" si="34"/>
        <v>3404129.5</v>
      </c>
      <c r="U41" s="1604">
        <f>R41/P41</f>
        <v>1</v>
      </c>
      <c r="V41" s="1698">
        <f t="shared" ref="V41" si="35">SUM(V42:V52)</f>
        <v>0</v>
      </c>
      <c r="W41" s="1698">
        <f t="shared" ref="W41" si="36">SUM(W42:W52)</f>
        <v>0</v>
      </c>
      <c r="X41" s="1005">
        <f>SUM(X42:X52)</f>
        <v>0</v>
      </c>
      <c r="Y41" s="1615">
        <f>X41/P41</f>
        <v>0</v>
      </c>
      <c r="Z41" s="1005">
        <f>SUM(Z42:Z52)</f>
        <v>0</v>
      </c>
      <c r="AA41" s="1615">
        <f t="shared" ref="AA41:AA72" si="37">Z41/P41</f>
        <v>0</v>
      </c>
      <c r="AB41" s="1022"/>
      <c r="AC41" s="1023"/>
      <c r="AD41" s="46"/>
      <c r="AE41" s="46">
        <f>SUM(R41,X41)-P41</f>
        <v>0</v>
      </c>
      <c r="AG41" s="1698">
        <f t="shared" ref="AG41:AJ41" si="38">SUM(AG42:AG52)</f>
        <v>0</v>
      </c>
      <c r="AH41" s="1698">
        <f t="shared" si="38"/>
        <v>0</v>
      </c>
      <c r="AI41" s="1698">
        <f t="shared" si="38"/>
        <v>0</v>
      </c>
      <c r="AJ41" s="1698">
        <f t="shared" si="38"/>
        <v>0</v>
      </c>
    </row>
    <row r="42" spans="2:36" customFormat="1" ht="15" outlineLevel="1">
      <c r="B42" s="1002"/>
      <c r="C42" s="1003" t="s">
        <v>1426</v>
      </c>
      <c r="D42" s="1003"/>
      <c r="E42" s="1004"/>
      <c r="F42" s="1713">
        <f t="shared" ref="F42:O42" si="39">SUM(F43:F47)</f>
        <v>0</v>
      </c>
      <c r="G42" s="1713">
        <f t="shared" si="39"/>
        <v>4372704</v>
      </c>
      <c r="H42" s="1713">
        <f t="shared" si="39"/>
        <v>5332320</v>
      </c>
      <c r="I42" s="1713">
        <f t="shared" si="39"/>
        <v>0</v>
      </c>
      <c r="J42" s="1713">
        <f t="shared" si="39"/>
        <v>0</v>
      </c>
      <c r="K42" s="1713">
        <f t="shared" si="39"/>
        <v>0</v>
      </c>
      <c r="L42" s="1713">
        <f t="shared" si="39"/>
        <v>0</v>
      </c>
      <c r="M42" s="1713">
        <f t="shared" si="39"/>
        <v>0</v>
      </c>
      <c r="N42" s="1713">
        <f t="shared" si="39"/>
        <v>0</v>
      </c>
      <c r="O42" s="1713">
        <f t="shared" si="39"/>
        <v>0</v>
      </c>
      <c r="P42" s="1714">
        <f t="shared" ref="P42:P72" si="40">SUM(F42:O42)</f>
        <v>9705024</v>
      </c>
      <c r="Q42" s="46">
        <f t="shared" si="33"/>
        <v>0</v>
      </c>
      <c r="R42" s="1016"/>
      <c r="S42" s="1775"/>
      <c r="T42" s="1775"/>
      <c r="U42" s="1605"/>
      <c r="V42" s="1699"/>
      <c r="W42" s="1699"/>
      <c r="X42" s="1009"/>
      <c r="Y42" s="1616"/>
      <c r="Z42" s="1009"/>
      <c r="AA42" s="1616">
        <f t="shared" si="37"/>
        <v>0</v>
      </c>
      <c r="AB42" s="1017"/>
      <c r="AC42" s="1018"/>
      <c r="AE42" s="46"/>
      <c r="AG42" s="1699"/>
      <c r="AH42" s="1699"/>
      <c r="AI42" s="1699"/>
      <c r="AJ42" s="1699"/>
    </row>
    <row r="43" spans="2:36" hidden="1" outlineLevel="1">
      <c r="B43" s="1007" t="s">
        <v>7</v>
      </c>
      <c r="C43" s="1008" t="s">
        <v>205</v>
      </c>
      <c r="D43" s="1008" t="s">
        <v>198</v>
      </c>
      <c r="E43" s="1008" t="s">
        <v>0</v>
      </c>
      <c r="F43" s="1716"/>
      <c r="G43" s="1715">
        <f>'N_02 Vstupy'!$F$182*1.2</f>
        <v>0</v>
      </c>
      <c r="H43" s="1716"/>
      <c r="I43" s="1716"/>
      <c r="J43" s="1716"/>
      <c r="K43" s="1716"/>
      <c r="L43" s="1716"/>
      <c r="M43" s="1716"/>
      <c r="N43" s="1716"/>
      <c r="O43" s="1716"/>
      <c r="P43" s="1732">
        <f t="shared" si="40"/>
        <v>0</v>
      </c>
      <c r="Q43" s="46">
        <f t="shared" si="33"/>
        <v>0</v>
      </c>
      <c r="R43" s="1016">
        <f>SUM(F43:H43)</f>
        <v>0</v>
      </c>
      <c r="S43" s="1775"/>
      <c r="T43" s="1775"/>
      <c r="U43" s="1605" t="e">
        <f>R43/P43</f>
        <v>#DIV/0!</v>
      </c>
      <c r="V43" s="1699"/>
      <c r="W43" s="1699"/>
      <c r="X43" s="1009">
        <f>SUM(I43:O43)-AB43-AC43</f>
        <v>0</v>
      </c>
      <c r="Y43" s="1616" t="e">
        <f>X43/P43</f>
        <v>#DIV/0!</v>
      </c>
      <c r="Z43" s="1009"/>
      <c r="AA43" s="1616" t="e">
        <f t="shared" si="37"/>
        <v>#DIV/0!</v>
      </c>
      <c r="AB43" s="1008"/>
      <c r="AC43" s="1019"/>
      <c r="AE43" s="46">
        <f>SUM(R43,X43)-P43</f>
        <v>0</v>
      </c>
      <c r="AG43" s="1699"/>
      <c r="AH43" s="1699"/>
      <c r="AI43" s="1699"/>
      <c r="AJ43" s="1699"/>
    </row>
    <row r="44" spans="2:36" outlineLevel="1">
      <c r="B44" s="1007" t="s">
        <v>7</v>
      </c>
      <c r="C44" s="1008" t="s">
        <v>205</v>
      </c>
      <c r="D44" s="1008" t="s">
        <v>1833</v>
      </c>
      <c r="E44" s="1008" t="s">
        <v>0</v>
      </c>
      <c r="F44" s="1716"/>
      <c r="G44" s="1716">
        <f>'N_02 Vstupy'!$H$179/2*1.2</f>
        <v>770400</v>
      </c>
      <c r="H44" s="1716">
        <f>'N_02 Vstupy'!$H$179/2*1.2</f>
        <v>770400</v>
      </c>
      <c r="I44" s="1716"/>
      <c r="J44" s="1716"/>
      <c r="K44" s="1716"/>
      <c r="L44" s="1716"/>
      <c r="M44" s="1716"/>
      <c r="N44" s="1716"/>
      <c r="O44" s="1716"/>
      <c r="P44" s="1732">
        <f t="shared" si="40"/>
        <v>1540800</v>
      </c>
      <c r="Q44" s="46">
        <f t="shared" si="33"/>
        <v>0</v>
      </c>
      <c r="R44" s="1016">
        <f>SUM(F44:H44)</f>
        <v>1540800</v>
      </c>
      <c r="S44" s="1775">
        <f>R44/1.2</f>
        <v>1284000</v>
      </c>
      <c r="T44" s="1775">
        <f>S44*0.2</f>
        <v>256800</v>
      </c>
      <c r="U44" s="1605">
        <f>R44/P44</f>
        <v>1</v>
      </c>
      <c r="V44" s="1699"/>
      <c r="W44" s="1699"/>
      <c r="X44" s="1009">
        <f>SUM(I44:O44)-AB44-AC44</f>
        <v>0</v>
      </c>
      <c r="Y44" s="1616">
        <f>X44/P44</f>
        <v>0</v>
      </c>
      <c r="Z44" s="1009"/>
      <c r="AA44" s="1616">
        <f t="shared" si="37"/>
        <v>0</v>
      </c>
      <c r="AB44" s="1008"/>
      <c r="AC44" s="1019"/>
      <c r="AE44" s="46"/>
      <c r="AG44" s="1699"/>
      <c r="AH44" s="1699"/>
      <c r="AI44" s="1699"/>
      <c r="AJ44" s="1699"/>
    </row>
    <row r="45" spans="2:36" outlineLevel="1">
      <c r="B45" s="1007" t="s">
        <v>7</v>
      </c>
      <c r="C45" s="1008" t="s">
        <v>205</v>
      </c>
      <c r="D45" s="1008" t="s">
        <v>1615</v>
      </c>
      <c r="E45" s="1008" t="s">
        <v>0</v>
      </c>
      <c r="F45" s="1716"/>
      <c r="G45" s="1716">
        <f>('N_02 Vstupy'!$F$184*1.2)/2</f>
        <v>3602304</v>
      </c>
      <c r="H45" s="1716">
        <f>('N_02 Vstupy'!$F$184*1.2)/2</f>
        <v>3602304</v>
      </c>
      <c r="I45" s="1716"/>
      <c r="J45" s="1716"/>
      <c r="K45" s="1716"/>
      <c r="L45" s="1716"/>
      <c r="M45" s="1716"/>
      <c r="N45" s="1716"/>
      <c r="O45" s="1716"/>
      <c r="P45" s="1732">
        <f t="shared" si="40"/>
        <v>7204608</v>
      </c>
      <c r="Q45" s="46">
        <f t="shared" si="33"/>
        <v>0</v>
      </c>
      <c r="R45" s="1016">
        <f>SUM(F45:H45)</f>
        <v>7204608</v>
      </c>
      <c r="S45" s="1775">
        <f t="shared" ref="S45:S49" si="41">R45/1.2</f>
        <v>6003840</v>
      </c>
      <c r="T45" s="1775">
        <f t="shared" ref="T45:T49" si="42">S45*0.2</f>
        <v>1200768</v>
      </c>
      <c r="U45" s="1605">
        <f>R45/P45</f>
        <v>1</v>
      </c>
      <c r="V45" s="1699"/>
      <c r="W45" s="1699"/>
      <c r="X45" s="1009">
        <f>SUM(I45:O45)-AB45-AC45</f>
        <v>0</v>
      </c>
      <c r="Y45" s="1616">
        <f>X45/P45</f>
        <v>0</v>
      </c>
      <c r="Z45" s="1009"/>
      <c r="AA45" s="1616">
        <f t="shared" si="37"/>
        <v>0</v>
      </c>
      <c r="AB45" s="1008"/>
      <c r="AC45" s="1019"/>
      <c r="AE45" s="46">
        <f>SUM(R45,X45)-P45</f>
        <v>0</v>
      </c>
      <c r="AG45" s="1699"/>
      <c r="AH45" s="1699"/>
      <c r="AI45" s="1699"/>
      <c r="AJ45" s="1699"/>
    </row>
    <row r="46" spans="2:36" outlineLevel="1">
      <c r="B46" s="1007" t="s">
        <v>7</v>
      </c>
      <c r="C46" s="1008" t="s">
        <v>1572</v>
      </c>
      <c r="D46" s="1008" t="s">
        <v>1616</v>
      </c>
      <c r="E46" s="1008" t="s">
        <v>0</v>
      </c>
      <c r="F46" s="1716"/>
      <c r="G46" s="1716"/>
      <c r="H46" s="1716">
        <f>'N_02 Vstupy'!$F$190*1.2</f>
        <v>300096</v>
      </c>
      <c r="I46" s="1716"/>
      <c r="J46" s="1716"/>
      <c r="K46" s="1716"/>
      <c r="L46" s="1716"/>
      <c r="M46" s="1716"/>
      <c r="N46" s="1716"/>
      <c r="O46" s="1716"/>
      <c r="P46" s="1732">
        <f t="shared" si="40"/>
        <v>300096</v>
      </c>
      <c r="Q46" s="46">
        <f t="shared" si="33"/>
        <v>0</v>
      </c>
      <c r="R46" s="1016">
        <f>SUM(F46:H46)</f>
        <v>300096</v>
      </c>
      <c r="S46" s="1775">
        <f t="shared" si="41"/>
        <v>250080</v>
      </c>
      <c r="T46" s="1775">
        <f t="shared" si="42"/>
        <v>50016</v>
      </c>
      <c r="U46" s="1605">
        <f>R46/P46</f>
        <v>1</v>
      </c>
      <c r="V46" s="1699"/>
      <c r="W46" s="1699"/>
      <c r="X46" s="1009">
        <f>SUM(I46:O46)-AB46-AC46</f>
        <v>0</v>
      </c>
      <c r="Y46" s="1616">
        <f>X46/P46</f>
        <v>0</v>
      </c>
      <c r="Z46" s="1009"/>
      <c r="AA46" s="1616">
        <f t="shared" si="37"/>
        <v>0</v>
      </c>
      <c r="AB46" s="1008"/>
      <c r="AC46" s="1019"/>
      <c r="AE46" s="46">
        <f>SUM(R46,X46)-P46</f>
        <v>0</v>
      </c>
      <c r="AG46" s="1699"/>
      <c r="AH46" s="1699"/>
      <c r="AI46" s="1699"/>
      <c r="AJ46" s="1699"/>
    </row>
    <row r="47" spans="2:36" outlineLevel="1">
      <c r="B47" s="1007" t="s">
        <v>7</v>
      </c>
      <c r="C47" s="1008" t="s">
        <v>1573</v>
      </c>
      <c r="D47" s="1008" t="s">
        <v>1614</v>
      </c>
      <c r="E47" s="1008" t="s">
        <v>0</v>
      </c>
      <c r="F47" s="1716"/>
      <c r="G47" s="1716"/>
      <c r="H47" s="1716">
        <f>'N_02 Vstupy'!$F$192*1.2</f>
        <v>659520</v>
      </c>
      <c r="I47" s="1716"/>
      <c r="J47" s="1716"/>
      <c r="K47" s="1716"/>
      <c r="L47" s="1716"/>
      <c r="M47" s="1716"/>
      <c r="N47" s="1716"/>
      <c r="O47" s="1716"/>
      <c r="P47" s="1732">
        <f t="shared" si="40"/>
        <v>659520</v>
      </c>
      <c r="Q47" s="46">
        <f t="shared" si="33"/>
        <v>0</v>
      </c>
      <c r="R47" s="1016">
        <f>SUM(F47:H47)</f>
        <v>659520</v>
      </c>
      <c r="S47" s="1775">
        <f t="shared" si="41"/>
        <v>549600</v>
      </c>
      <c r="T47" s="1775">
        <f t="shared" si="42"/>
        <v>109920</v>
      </c>
      <c r="U47" s="1605">
        <f>R47/P47</f>
        <v>1</v>
      </c>
      <c r="V47" s="1699"/>
      <c r="W47" s="1699"/>
      <c r="X47" s="1009">
        <f>SUM(I47:O47)-AB47-AC47</f>
        <v>0</v>
      </c>
      <c r="Y47" s="1616">
        <f>X47/P47</f>
        <v>0</v>
      </c>
      <c r="Z47" s="1009"/>
      <c r="AA47" s="1616">
        <f t="shared" si="37"/>
        <v>0</v>
      </c>
      <c r="AB47" s="1008"/>
      <c r="AC47" s="1019"/>
      <c r="AE47" s="46">
        <f>SUM(R47,X47)-P47</f>
        <v>0</v>
      </c>
      <c r="AG47" s="1699"/>
      <c r="AH47" s="1699"/>
      <c r="AI47" s="1699"/>
      <c r="AJ47" s="1699"/>
    </row>
    <row r="48" spans="2:36" outlineLevel="1" collapsed="1">
      <c r="B48" s="1002"/>
      <c r="C48" s="1003" t="s">
        <v>1427</v>
      </c>
      <c r="D48" s="1004"/>
      <c r="E48" s="1004"/>
      <c r="F48" s="1713">
        <f t="shared" ref="F48:O48" si="43">SUM(F49:F50)</f>
        <v>0</v>
      </c>
      <c r="G48" s="1713">
        <f t="shared" si="43"/>
        <v>0</v>
      </c>
      <c r="H48" s="1713">
        <f t="shared" si="43"/>
        <v>2415168</v>
      </c>
      <c r="I48" s="1713">
        <f t="shared" si="43"/>
        <v>0</v>
      </c>
      <c r="J48" s="1713">
        <f t="shared" si="43"/>
        <v>0</v>
      </c>
      <c r="K48" s="1713">
        <f t="shared" si="43"/>
        <v>0</v>
      </c>
      <c r="L48" s="1713">
        <f t="shared" si="43"/>
        <v>0</v>
      </c>
      <c r="M48" s="1713">
        <f t="shared" si="43"/>
        <v>0</v>
      </c>
      <c r="N48" s="1713">
        <f t="shared" si="43"/>
        <v>0</v>
      </c>
      <c r="O48" s="1713">
        <f t="shared" si="43"/>
        <v>0</v>
      </c>
      <c r="P48" s="1714">
        <f t="shared" si="40"/>
        <v>2415168</v>
      </c>
      <c r="Q48" s="46">
        <f t="shared" si="33"/>
        <v>0</v>
      </c>
      <c r="R48" s="1007"/>
      <c r="S48" s="1776"/>
      <c r="T48" s="1776"/>
      <c r="U48" s="1605"/>
      <c r="V48" s="1699"/>
      <c r="W48" s="1699"/>
      <c r="X48" s="1009"/>
      <c r="Y48" s="1616"/>
      <c r="Z48" s="1009"/>
      <c r="AA48" s="1616">
        <f t="shared" si="37"/>
        <v>0</v>
      </c>
      <c r="AB48" s="1008"/>
      <c r="AC48" s="1019"/>
      <c r="AE48" s="46"/>
      <c r="AG48" s="1699"/>
      <c r="AH48" s="1699"/>
      <c r="AI48" s="1699"/>
      <c r="AJ48" s="1699"/>
    </row>
    <row r="49" spans="2:36" outlineLevel="1">
      <c r="B49" s="1007" t="s">
        <v>7</v>
      </c>
      <c r="C49" s="1008" t="s">
        <v>206</v>
      </c>
      <c r="D49" s="1008" t="s">
        <v>1621</v>
      </c>
      <c r="E49" s="1008" t="s">
        <v>0</v>
      </c>
      <c r="F49" s="1716"/>
      <c r="G49" s="1716"/>
      <c r="H49" s="1715">
        <f>'N_02 Vstupy'!$F$193*1.2</f>
        <v>2415168</v>
      </c>
      <c r="I49" s="1716"/>
      <c r="J49" s="1716"/>
      <c r="K49" s="1716"/>
      <c r="L49" s="1716"/>
      <c r="M49" s="1716"/>
      <c r="N49" s="1716"/>
      <c r="O49" s="1716"/>
      <c r="P49" s="1732">
        <f t="shared" si="40"/>
        <v>2415168</v>
      </c>
      <c r="Q49" s="46">
        <f t="shared" si="33"/>
        <v>0</v>
      </c>
      <c r="R49" s="1016">
        <f>SUM(F49:H49)</f>
        <v>2415168</v>
      </c>
      <c r="S49" s="1775">
        <f t="shared" si="41"/>
        <v>2012640</v>
      </c>
      <c r="T49" s="1775">
        <f t="shared" si="42"/>
        <v>402528</v>
      </c>
      <c r="U49" s="1605">
        <f>R49/P49</f>
        <v>1</v>
      </c>
      <c r="V49" s="1699"/>
      <c r="W49" s="1699"/>
      <c r="X49" s="1009">
        <f>SUM(I49:O49)-AB49-AC49</f>
        <v>0</v>
      </c>
      <c r="Y49" s="1616">
        <f>X49/P49</f>
        <v>0</v>
      </c>
      <c r="Z49" s="1009"/>
      <c r="AA49" s="1616">
        <f t="shared" si="37"/>
        <v>0</v>
      </c>
      <c r="AB49" s="1008"/>
      <c r="AC49" s="1019"/>
      <c r="AE49" s="46">
        <f>SUM(R49,X49)-P49</f>
        <v>0</v>
      </c>
      <c r="AG49" s="1699"/>
      <c r="AH49" s="1699"/>
      <c r="AI49" s="1699"/>
      <c r="AJ49" s="1699"/>
    </row>
    <row r="50" spans="2:36" outlineLevel="1">
      <c r="B50" s="1007" t="s">
        <v>7</v>
      </c>
      <c r="C50" s="1008" t="s">
        <v>1560</v>
      </c>
      <c r="D50" s="1008" t="s">
        <v>1630</v>
      </c>
      <c r="E50" s="1011" t="s">
        <v>1631</v>
      </c>
      <c r="F50" s="1716"/>
      <c r="G50" s="1716"/>
      <c r="H50" s="1716"/>
      <c r="I50" s="1716"/>
      <c r="J50" s="1716"/>
      <c r="K50" s="1716"/>
      <c r="L50" s="1716"/>
      <c r="M50" s="1716"/>
      <c r="N50" s="1716"/>
      <c r="O50" s="1716"/>
      <c r="P50" s="1732">
        <f>SUM(F50:O50)</f>
        <v>0</v>
      </c>
      <c r="Q50" s="46">
        <f t="shared" si="33"/>
        <v>0</v>
      </c>
      <c r="R50" s="1222">
        <f>SUM(F50:H50)</f>
        <v>0</v>
      </c>
      <c r="S50" s="1777"/>
      <c r="T50" s="1777"/>
      <c r="U50" s="1606" t="e">
        <f>R50/P50</f>
        <v>#DIV/0!</v>
      </c>
      <c r="V50" s="1700"/>
      <c r="W50" s="1700"/>
      <c r="X50" s="1012">
        <f>SUM(I50:O50)-AB50-AC50</f>
        <v>0</v>
      </c>
      <c r="Y50" s="1617" t="e">
        <f>X50/P50</f>
        <v>#DIV/0!</v>
      </c>
      <c r="Z50" s="1012"/>
      <c r="AA50" s="1617" t="e">
        <f t="shared" si="37"/>
        <v>#DIV/0!</v>
      </c>
      <c r="AB50" s="1008"/>
      <c r="AC50" s="1019"/>
      <c r="AE50" s="46">
        <f>SUM(R50,X50)-P50</f>
        <v>0</v>
      </c>
      <c r="AG50" s="1700"/>
      <c r="AH50" s="1700"/>
      <c r="AI50" s="1700"/>
      <c r="AJ50" s="1700"/>
    </row>
    <row r="51" spans="2:36" outlineLevel="1">
      <c r="B51" s="1002"/>
      <c r="C51" s="1003" t="s">
        <v>1428</v>
      </c>
      <c r="D51" s="1004"/>
      <c r="E51" s="1004"/>
      <c r="F51" s="1713">
        <f t="shared" ref="F51:O51" si="44">SUM(F52:F52)</f>
        <v>0</v>
      </c>
      <c r="G51" s="1713">
        <f t="shared" si="44"/>
        <v>0</v>
      </c>
      <c r="H51" s="1713">
        <f t="shared" si="44"/>
        <v>8304585</v>
      </c>
      <c r="I51" s="1713">
        <f t="shared" si="44"/>
        <v>0</v>
      </c>
      <c r="J51" s="1713">
        <f t="shared" si="44"/>
        <v>0</v>
      </c>
      <c r="K51" s="1713">
        <f t="shared" si="44"/>
        <v>0</v>
      </c>
      <c r="L51" s="1713">
        <f t="shared" si="44"/>
        <v>0</v>
      </c>
      <c r="M51" s="1713">
        <f t="shared" si="44"/>
        <v>0</v>
      </c>
      <c r="N51" s="1713">
        <f t="shared" si="44"/>
        <v>0</v>
      </c>
      <c r="O51" s="1713">
        <f t="shared" si="44"/>
        <v>0</v>
      </c>
      <c r="P51" s="1714">
        <f t="shared" si="40"/>
        <v>8304585</v>
      </c>
      <c r="Q51" s="46">
        <f t="shared" si="33"/>
        <v>0</v>
      </c>
      <c r="R51" s="1007"/>
      <c r="S51" s="1776"/>
      <c r="T51" s="1776"/>
      <c r="U51" s="1605"/>
      <c r="V51" s="1699"/>
      <c r="W51" s="1699"/>
      <c r="X51" s="1009"/>
      <c r="Y51" s="1616"/>
      <c r="Z51" s="1009"/>
      <c r="AA51" s="1616">
        <f t="shared" si="37"/>
        <v>0</v>
      </c>
      <c r="AB51" s="1008"/>
      <c r="AC51" s="1019"/>
      <c r="AE51" s="46"/>
      <c r="AG51" s="1699"/>
      <c r="AH51" s="1699"/>
      <c r="AI51" s="1699"/>
      <c r="AJ51" s="1699"/>
    </row>
    <row r="52" spans="2:36" outlineLevel="1">
      <c r="B52" s="1007" t="s">
        <v>7</v>
      </c>
      <c r="C52" s="1008" t="s">
        <v>208</v>
      </c>
      <c r="D52" s="1008" t="s">
        <v>1603</v>
      </c>
      <c r="E52" s="1008" t="s">
        <v>0</v>
      </c>
      <c r="F52" s="1716"/>
      <c r="G52" s="1716"/>
      <c r="H52" s="1716">
        <f>'N_02 Vstupy'!I134*1.2</f>
        <v>8304585</v>
      </c>
      <c r="I52" s="1716"/>
      <c r="J52" s="1716"/>
      <c r="K52" s="1716"/>
      <c r="L52" s="1716"/>
      <c r="M52" s="1716"/>
      <c r="N52" s="1716"/>
      <c r="O52" s="1716"/>
      <c r="P52" s="1732">
        <f t="shared" si="40"/>
        <v>8304585</v>
      </c>
      <c r="Q52" s="46">
        <f t="shared" si="33"/>
        <v>0</v>
      </c>
      <c r="R52" s="1016">
        <f>SUM(F52:H52)</f>
        <v>8304585</v>
      </c>
      <c r="S52" s="1775">
        <f t="shared" ref="S52" si="45">R52/1.2</f>
        <v>6920487.5</v>
      </c>
      <c r="T52" s="1775">
        <f t="shared" ref="T52" si="46">S52*0.2</f>
        <v>1384097.5</v>
      </c>
      <c r="U52" s="1605">
        <f>R52/P52</f>
        <v>1</v>
      </c>
      <c r="V52" s="1699"/>
      <c r="W52" s="1699"/>
      <c r="X52" s="1009">
        <f>SUM(I52:O52)-AB52-AC52</f>
        <v>0</v>
      </c>
      <c r="Y52" s="1616">
        <f>X52/P52</f>
        <v>0</v>
      </c>
      <c r="Z52" s="1009"/>
      <c r="AA52" s="1616">
        <f t="shared" si="37"/>
        <v>0</v>
      </c>
      <c r="AB52" s="1008"/>
      <c r="AC52" s="1019"/>
      <c r="AE52" s="46">
        <f>SUM(R52,X52)-P52</f>
        <v>0</v>
      </c>
      <c r="AG52" s="1699"/>
      <c r="AH52" s="1699"/>
      <c r="AI52" s="1699"/>
      <c r="AJ52" s="1699"/>
    </row>
    <row r="53" spans="2:36" outlineLevel="1">
      <c r="B53" s="998" t="s">
        <v>1371</v>
      </c>
      <c r="C53" s="999"/>
      <c r="D53" s="999"/>
      <c r="E53" s="1000"/>
      <c r="F53" s="1730">
        <f t="shared" ref="F53:O53" si="47">F54+F64+F69+F71</f>
        <v>989961.45</v>
      </c>
      <c r="G53" s="1730">
        <f t="shared" si="47"/>
        <v>6017299.9500000002</v>
      </c>
      <c r="H53" s="1730">
        <f t="shared" si="47"/>
        <v>5624974.7608804414</v>
      </c>
      <c r="I53" s="1730">
        <f t="shared" si="47"/>
        <v>3407341.5148270107</v>
      </c>
      <c r="J53" s="1730">
        <f t="shared" si="47"/>
        <v>3589230.4231871418</v>
      </c>
      <c r="K53" s="1730">
        <f t="shared" si="47"/>
        <v>3647513.8980876561</v>
      </c>
      <c r="L53" s="1730">
        <f t="shared" si="47"/>
        <v>4503830.7862682454</v>
      </c>
      <c r="M53" s="1730">
        <f t="shared" si="47"/>
        <v>4679673.3719967483</v>
      </c>
      <c r="N53" s="1730">
        <f t="shared" si="47"/>
        <v>4859216.3219301878</v>
      </c>
      <c r="O53" s="1730">
        <f t="shared" si="47"/>
        <v>5042641.1526538078</v>
      </c>
      <c r="P53" s="1731">
        <f t="shared" si="40"/>
        <v>42361683.62983124</v>
      </c>
      <c r="Q53" s="46">
        <f>X53-W53-V53</f>
        <v>0</v>
      </c>
      <c r="R53" s="1028">
        <f>SUM(R54:R72)</f>
        <v>11008484.25</v>
      </c>
      <c r="S53" s="1778">
        <f t="shared" ref="S53:T53" si="48">SUM(S54:S72)</f>
        <v>9502839.3499999996</v>
      </c>
      <c r="T53" s="1778">
        <f t="shared" si="48"/>
        <v>1505644.9</v>
      </c>
      <c r="U53" s="1607">
        <f>R53/P53</f>
        <v>0.25986890290280595</v>
      </c>
      <c r="V53" s="1701">
        <f>SUM(V54:V72)</f>
        <v>1542105.3</v>
      </c>
      <c r="W53" s="1701">
        <f>SUM(W54:W72)</f>
        <v>23670412.199999999</v>
      </c>
      <c r="X53" s="1029">
        <f>SUM(X54:X72)</f>
        <v>25212517.5</v>
      </c>
      <c r="Y53" s="1618">
        <f>X53/P53</f>
        <v>0.59517269710794174</v>
      </c>
      <c r="Z53" s="1029">
        <f>SUM(Z54:Z72)</f>
        <v>6140681.8798312396</v>
      </c>
      <c r="AA53" s="1618">
        <f t="shared" si="37"/>
        <v>0.14495839998925233</v>
      </c>
      <c r="AB53" s="1024"/>
      <c r="AC53" s="1025"/>
      <c r="AE53" s="46">
        <f>SUM(R53,X53)-P53</f>
        <v>-6140681.8798312396</v>
      </c>
      <c r="AG53" s="1794">
        <f>SUM(AG54:AG72)</f>
        <v>1344813</v>
      </c>
      <c r="AH53" s="1794">
        <f t="shared" ref="AH53:AJ53" si="49">SUM(AH54:AH72)</f>
        <v>197292.3</v>
      </c>
      <c r="AI53" s="1794">
        <f t="shared" si="49"/>
        <v>20469145</v>
      </c>
      <c r="AJ53" s="1794">
        <f t="shared" si="49"/>
        <v>3201267.2</v>
      </c>
    </row>
    <row r="54" spans="2:36" outlineLevel="1">
      <c r="B54" s="1002"/>
      <c r="C54" s="1003" t="s">
        <v>1429</v>
      </c>
      <c r="D54" s="1004"/>
      <c r="E54" s="1004"/>
      <c r="F54" s="1713">
        <f>SUM(F55:F63)</f>
        <v>0</v>
      </c>
      <c r="G54" s="1713">
        <f t="shared" ref="G54:O54" si="50">SUM(G55:G63)</f>
        <v>3420000</v>
      </c>
      <c r="H54" s="1713">
        <f t="shared" si="50"/>
        <v>1348889.8108804412</v>
      </c>
      <c r="I54" s="1713">
        <f t="shared" si="50"/>
        <v>2627314.5148270107</v>
      </c>
      <c r="J54" s="1713">
        <f t="shared" si="50"/>
        <v>2809203.4231871418</v>
      </c>
      <c r="K54" s="1713">
        <f t="shared" si="50"/>
        <v>2978162.8980876561</v>
      </c>
      <c r="L54" s="1713">
        <f t="shared" si="50"/>
        <v>3834479.7862682454</v>
      </c>
      <c r="M54" s="1713">
        <f t="shared" si="50"/>
        <v>4010322.3719967483</v>
      </c>
      <c r="N54" s="1713">
        <f t="shared" si="50"/>
        <v>4189865.3219301878</v>
      </c>
      <c r="O54" s="1713">
        <f t="shared" si="50"/>
        <v>4373290.1526538078</v>
      </c>
      <c r="P54" s="1714">
        <f t="shared" si="40"/>
        <v>29591528.279831238</v>
      </c>
      <c r="Q54" s="46">
        <f t="shared" si="33"/>
        <v>0</v>
      </c>
      <c r="R54" s="1007"/>
      <c r="S54" s="1776"/>
      <c r="T54" s="1776"/>
      <c r="U54" s="1605"/>
      <c r="V54" s="1699"/>
      <c r="W54" s="1699"/>
      <c r="X54" s="1008"/>
      <c r="Y54" s="1616"/>
      <c r="Z54" s="1008"/>
      <c r="AA54" s="1616">
        <f t="shared" si="37"/>
        <v>0</v>
      </c>
      <c r="AB54" s="1008"/>
      <c r="AC54" s="1019"/>
      <c r="AE54" s="46"/>
      <c r="AG54" s="1792"/>
      <c r="AH54" s="1792"/>
      <c r="AI54" s="1792"/>
      <c r="AJ54" s="1792"/>
    </row>
    <row r="55" spans="2:36" outlineLevel="1">
      <c r="B55" s="1007" t="s">
        <v>5</v>
      </c>
      <c r="C55" s="1008" t="s">
        <v>205</v>
      </c>
      <c r="D55" s="1008" t="s">
        <v>1722</v>
      </c>
      <c r="E55" s="1008" t="s">
        <v>0</v>
      </c>
      <c r="F55" s="1716"/>
      <c r="G55" s="1715">
        <f>'N_02 Vstupy'!$F$178*1.2</f>
        <v>3420000</v>
      </c>
      <c r="H55" s="1716"/>
      <c r="I55" s="1716"/>
      <c r="J55" s="1716"/>
      <c r="K55" s="1716"/>
      <c r="L55" s="1715">
        <f>'N_02 Vstupy'!$H$181*1.2</f>
        <v>684000</v>
      </c>
      <c r="M55" s="1715">
        <f>'N_02 Vstupy'!$H$181*1.2</f>
        <v>684000</v>
      </c>
      <c r="N55" s="1715">
        <f>'N_02 Vstupy'!$H$181*1.2</f>
        <v>684000</v>
      </c>
      <c r="O55" s="1715">
        <f>'N_02 Vstupy'!$H$181*1.2</f>
        <v>684000</v>
      </c>
      <c r="P55" s="1732">
        <f>SUM(F55:O55)</f>
        <v>6156000</v>
      </c>
      <c r="Q55" s="46">
        <f t="shared" si="33"/>
        <v>0</v>
      </c>
      <c r="R55" s="1016">
        <f>SUM(F55:H55)</f>
        <v>3420000</v>
      </c>
      <c r="S55" s="1775">
        <f t="shared" ref="S55:S62" si="51">R55/1.2</f>
        <v>2850000</v>
      </c>
      <c r="T55" s="1775">
        <f t="shared" ref="T55:T62" si="52">S55*0.2</f>
        <v>570000</v>
      </c>
      <c r="U55" s="1605">
        <f t="shared" ref="U55:U63" si="53">R55/P55</f>
        <v>0.55555555555555558</v>
      </c>
      <c r="V55" s="1699"/>
      <c r="W55" s="1699">
        <f>SUM(I55:O55)</f>
        <v>2736000</v>
      </c>
      <c r="X55" s="1009">
        <f>SUM(I55:O55)-AB55-AC55</f>
        <v>2736000</v>
      </c>
      <c r="Y55" s="1616">
        <f t="shared" ref="Y55:Y63" si="54">X55/P55</f>
        <v>0.44444444444444442</v>
      </c>
      <c r="Z55" s="1009"/>
      <c r="AA55" s="1616">
        <f t="shared" si="37"/>
        <v>0</v>
      </c>
      <c r="AB55" s="1008"/>
      <c r="AC55" s="1019"/>
      <c r="AE55" s="46">
        <f t="shared" ref="AE55:AE63" si="55">SUM(R55,X55)-P55</f>
        <v>0</v>
      </c>
      <c r="AG55" s="1792"/>
      <c r="AH55" s="1792"/>
      <c r="AI55" s="1792">
        <f t="shared" ref="AI55:AI57" si="56">W55/1.2</f>
        <v>2280000</v>
      </c>
      <c r="AJ55" s="1792">
        <f t="shared" ref="AJ55:AJ57" si="57">AI55*0.2</f>
        <v>456000</v>
      </c>
    </row>
    <row r="56" spans="2:36" hidden="1" outlineLevel="1">
      <c r="B56" s="1007" t="s">
        <v>5</v>
      </c>
      <c r="C56" s="1008" t="s">
        <v>205</v>
      </c>
      <c r="D56" s="1008" t="s">
        <v>1425</v>
      </c>
      <c r="E56" s="1008" t="s">
        <v>0</v>
      </c>
      <c r="F56" s="1716"/>
      <c r="G56" s="1716"/>
      <c r="H56" s="1715">
        <f>'N_02 Vstupy'!$F$183*1.2</f>
        <v>0</v>
      </c>
      <c r="I56" s="1715">
        <f>'N_02 Vstupy'!$F$183*1.2</f>
        <v>0</v>
      </c>
      <c r="J56" s="1715">
        <f>'N_02 Vstupy'!$F$183*1.2</f>
        <v>0</v>
      </c>
      <c r="K56" s="1715">
        <f>'N_02 Vstupy'!$F$183*1.2</f>
        <v>0</v>
      </c>
      <c r="L56" s="1715">
        <f>'N_02 Vstupy'!$F$183*1.2</f>
        <v>0</v>
      </c>
      <c r="M56" s="1715">
        <f>'N_02 Vstupy'!$F$183*1.2</f>
        <v>0</v>
      </c>
      <c r="N56" s="1715">
        <f>'N_02 Vstupy'!$F$183*1.2</f>
        <v>0</v>
      </c>
      <c r="O56" s="1715">
        <f>'N_02 Vstupy'!$F$183*1.2</f>
        <v>0</v>
      </c>
      <c r="P56" s="1732">
        <f t="shared" si="40"/>
        <v>0</v>
      </c>
      <c r="Q56" s="46">
        <f t="shared" si="33"/>
        <v>0</v>
      </c>
      <c r="R56" s="1016">
        <f>SUM(F56:H56)</f>
        <v>0</v>
      </c>
      <c r="S56" s="1775">
        <f t="shared" si="51"/>
        <v>0</v>
      </c>
      <c r="T56" s="1775">
        <f t="shared" si="52"/>
        <v>0</v>
      </c>
      <c r="U56" s="1605" t="e">
        <f t="shared" si="53"/>
        <v>#DIV/0!</v>
      </c>
      <c r="V56" s="1699"/>
      <c r="W56" s="1699"/>
      <c r="X56" s="1009">
        <f>SUM(I56:O56)-AB56-AC56</f>
        <v>0</v>
      </c>
      <c r="Y56" s="1616" t="e">
        <f t="shared" si="54"/>
        <v>#DIV/0!</v>
      </c>
      <c r="Z56" s="1009"/>
      <c r="AA56" s="1616" t="e">
        <f t="shared" si="37"/>
        <v>#DIV/0!</v>
      </c>
      <c r="AB56" s="1008"/>
      <c r="AC56" s="1019"/>
      <c r="AE56" s="46">
        <f t="shared" si="55"/>
        <v>0</v>
      </c>
      <c r="AG56" s="1792"/>
      <c r="AH56" s="1792"/>
      <c r="AI56" s="1792">
        <f t="shared" si="56"/>
        <v>0</v>
      </c>
      <c r="AJ56" s="1792">
        <f t="shared" si="57"/>
        <v>0</v>
      </c>
    </row>
    <row r="57" spans="2:36" hidden="1" outlineLevel="1">
      <c r="B57" s="1007" t="s">
        <v>5</v>
      </c>
      <c r="C57" s="1008" t="s">
        <v>205</v>
      </c>
      <c r="D57" s="1008" t="s">
        <v>259</v>
      </c>
      <c r="E57" s="1008" t="s">
        <v>0</v>
      </c>
      <c r="F57" s="1716"/>
      <c r="G57" s="1716"/>
      <c r="H57" s="1715">
        <f>'N_02 Vstupy'!$F$180*1.2</f>
        <v>0</v>
      </c>
      <c r="I57" s="1715">
        <f>'N_02 Vstupy'!$F$180*1.2</f>
        <v>0</v>
      </c>
      <c r="J57" s="1715">
        <f>'N_02 Vstupy'!$F$180*1.2</f>
        <v>0</v>
      </c>
      <c r="K57" s="1715">
        <f>'N_02 Vstupy'!$F$180*1.2</f>
        <v>0</v>
      </c>
      <c r="L57" s="1715">
        <f>'N_02 Vstupy'!$F$180*1.2</f>
        <v>0</v>
      </c>
      <c r="M57" s="1715">
        <f>'N_02 Vstupy'!$F$180*1.2</f>
        <v>0</v>
      </c>
      <c r="N57" s="1715">
        <f>'N_02 Vstupy'!$F$180*1.2</f>
        <v>0</v>
      </c>
      <c r="O57" s="1715">
        <f>'N_02 Vstupy'!$F$180*1.2</f>
        <v>0</v>
      </c>
      <c r="P57" s="1732">
        <f t="shared" si="40"/>
        <v>0</v>
      </c>
      <c r="Q57" s="46">
        <f t="shared" si="33"/>
        <v>0</v>
      </c>
      <c r="R57" s="1016">
        <f>SUM(F57:H57)</f>
        <v>0</v>
      </c>
      <c r="S57" s="1775">
        <f t="shared" si="51"/>
        <v>0</v>
      </c>
      <c r="T57" s="1775">
        <f t="shared" si="52"/>
        <v>0</v>
      </c>
      <c r="U57" s="1605" t="e">
        <f t="shared" si="53"/>
        <v>#DIV/0!</v>
      </c>
      <c r="V57" s="1699"/>
      <c r="W57" s="1699"/>
      <c r="X57" s="1009">
        <f>SUM(I57:O57)-AB57-AC57</f>
        <v>0</v>
      </c>
      <c r="Y57" s="1616" t="e">
        <f t="shared" si="54"/>
        <v>#DIV/0!</v>
      </c>
      <c r="Z57" s="1009"/>
      <c r="AA57" s="1616" t="e">
        <f t="shared" si="37"/>
        <v>#DIV/0!</v>
      </c>
      <c r="AB57" s="1008"/>
      <c r="AC57" s="1019"/>
      <c r="AE57" s="46">
        <f t="shared" si="55"/>
        <v>0</v>
      </c>
      <c r="AG57" s="1792"/>
      <c r="AH57" s="1792"/>
      <c r="AI57" s="1792">
        <f t="shared" si="56"/>
        <v>0</v>
      </c>
      <c r="AJ57" s="1792">
        <f t="shared" si="57"/>
        <v>0</v>
      </c>
    </row>
    <row r="58" spans="2:36" outlineLevel="1">
      <c r="B58" s="1007" t="s">
        <v>5</v>
      </c>
      <c r="C58" s="1008" t="s">
        <v>205</v>
      </c>
      <c r="D58" s="1008" t="s">
        <v>1568</v>
      </c>
      <c r="E58" s="1008" t="s">
        <v>0</v>
      </c>
      <c r="F58" s="1716"/>
      <c r="G58" s="1716"/>
      <c r="H58" s="1715">
        <f>('N_02 Vstupy'!$G$185*1.2)/2</f>
        <v>900000</v>
      </c>
      <c r="I58" s="1715">
        <f>'N_02 Vstupy'!$G$185*1.2</f>
        <v>1800000</v>
      </c>
      <c r="J58" s="1715">
        <f>'N_02 Vstupy'!$G$185*1.2</f>
        <v>1800000</v>
      </c>
      <c r="K58" s="1715">
        <f>'N_02 Vstupy'!$G$185*1.2</f>
        <v>1800000</v>
      </c>
      <c r="L58" s="1715">
        <f>'N_02 Vstupy'!$G$185*1.2</f>
        <v>1800000</v>
      </c>
      <c r="M58" s="1715">
        <f>'N_02 Vstupy'!$G$185*1.2</f>
        <v>1800000</v>
      </c>
      <c r="N58" s="1715">
        <f>'N_02 Vstupy'!$G$185*1.2</f>
        <v>1800000</v>
      </c>
      <c r="O58" s="1715">
        <f>'N_02 Vstupy'!$G$185*1.2</f>
        <v>1800000</v>
      </c>
      <c r="P58" s="1732">
        <f t="shared" si="40"/>
        <v>13500000</v>
      </c>
      <c r="Q58" s="46">
        <f>X58-W58-V58</f>
        <v>0</v>
      </c>
      <c r="R58" s="1016"/>
      <c r="S58" s="1775">
        <f t="shared" si="51"/>
        <v>0</v>
      </c>
      <c r="T58" s="1775">
        <f t="shared" si="52"/>
        <v>0</v>
      </c>
      <c r="U58" s="1605">
        <f t="shared" si="53"/>
        <v>0</v>
      </c>
      <c r="V58" s="1699">
        <f>H58</f>
        <v>900000</v>
      </c>
      <c r="W58" s="1699">
        <f>SUM(I58:O58)</f>
        <v>12600000</v>
      </c>
      <c r="X58" s="1009">
        <f>SUM(H58,I58:O58)</f>
        <v>13500000</v>
      </c>
      <c r="Y58" s="1616">
        <f t="shared" si="54"/>
        <v>1</v>
      </c>
      <c r="Z58" s="1009"/>
      <c r="AA58" s="1616">
        <f t="shared" si="37"/>
        <v>0</v>
      </c>
      <c r="AB58" s="1008"/>
      <c r="AC58" s="1019"/>
      <c r="AE58" s="46">
        <f t="shared" si="55"/>
        <v>0</v>
      </c>
      <c r="AG58" s="1792">
        <f>V58/1.2</f>
        <v>750000</v>
      </c>
      <c r="AH58" s="1792">
        <f>AG58*0.2</f>
        <v>150000</v>
      </c>
      <c r="AI58" s="1792">
        <f>W58/1.2</f>
        <v>10500000</v>
      </c>
      <c r="AJ58" s="1792">
        <f>AI58*0.2</f>
        <v>2100000</v>
      </c>
    </row>
    <row r="59" spans="2:36" hidden="1" outlineLevel="1">
      <c r="B59" s="1007" t="s">
        <v>5</v>
      </c>
      <c r="C59" s="1008" t="s">
        <v>205</v>
      </c>
      <c r="D59" s="1008" t="s">
        <v>1660</v>
      </c>
      <c r="E59" s="1008" t="s">
        <v>0</v>
      </c>
      <c r="F59" s="1716"/>
      <c r="G59" s="1716"/>
      <c r="H59" s="1715">
        <f>'N_02 Vstupy'!$G$186*1.2</f>
        <v>0</v>
      </c>
      <c r="I59" s="1715">
        <f>'N_02 Vstupy'!$G$186*1.2</f>
        <v>0</v>
      </c>
      <c r="J59" s="1715">
        <f>'N_02 Vstupy'!$G$186*1.2</f>
        <v>0</v>
      </c>
      <c r="K59" s="1715">
        <f>'N_02 Vstupy'!$G$186*1.2</f>
        <v>0</v>
      </c>
      <c r="L59" s="1715">
        <f>'N_02 Vstupy'!$G$186*1.2</f>
        <v>0</v>
      </c>
      <c r="M59" s="1715">
        <f>'N_02 Vstupy'!$G$186*1.2</f>
        <v>0</v>
      </c>
      <c r="N59" s="1715">
        <f>'N_02 Vstupy'!$G$186*1.2</f>
        <v>0</v>
      </c>
      <c r="O59" s="1715">
        <f>'N_02 Vstupy'!$G$186*1.2</f>
        <v>0</v>
      </c>
      <c r="P59" s="1732">
        <f t="shared" si="40"/>
        <v>0</v>
      </c>
      <c r="Q59" s="46">
        <f t="shared" si="33"/>
        <v>0</v>
      </c>
      <c r="R59" s="1016">
        <f>SUM(F59:G59,H59/2)</f>
        <v>0</v>
      </c>
      <c r="S59" s="1775">
        <f t="shared" si="51"/>
        <v>0</v>
      </c>
      <c r="T59" s="1775">
        <f t="shared" si="52"/>
        <v>0</v>
      </c>
      <c r="U59" s="1605" t="e">
        <f t="shared" si="53"/>
        <v>#DIV/0!</v>
      </c>
      <c r="V59" s="1699"/>
      <c r="W59" s="1699"/>
      <c r="X59" s="1009">
        <f>SUM(H59/2,I59:O59)</f>
        <v>0</v>
      </c>
      <c r="Y59" s="1616" t="e">
        <f t="shared" si="54"/>
        <v>#DIV/0!</v>
      </c>
      <c r="Z59" s="1009"/>
      <c r="AA59" s="1616" t="e">
        <f t="shared" si="37"/>
        <v>#DIV/0!</v>
      </c>
      <c r="AB59" s="1008"/>
      <c r="AC59" s="1019"/>
      <c r="AE59" s="46">
        <f t="shared" si="55"/>
        <v>0</v>
      </c>
      <c r="AG59" s="1792">
        <f t="shared" ref="AG59:AG72" si="58">V59/1.2</f>
        <v>0</v>
      </c>
      <c r="AH59" s="1792">
        <f t="shared" ref="AH59:AJ72" si="59">AG59*0.2</f>
        <v>0</v>
      </c>
      <c r="AI59" s="1792">
        <f t="shared" ref="AI59:AI72" si="60">W59/1.2</f>
        <v>0</v>
      </c>
      <c r="AJ59" s="1792">
        <f t="shared" si="59"/>
        <v>0</v>
      </c>
    </row>
    <row r="60" spans="2:36" hidden="1" outlineLevel="1">
      <c r="B60" s="1007" t="s">
        <v>5</v>
      </c>
      <c r="C60" s="1008" t="s">
        <v>205</v>
      </c>
      <c r="D60" s="1008" t="s">
        <v>10</v>
      </c>
      <c r="E60" s="1008" t="s">
        <v>0</v>
      </c>
      <c r="F60" s="1716"/>
      <c r="G60" s="1716"/>
      <c r="H60" s="1715"/>
      <c r="I60" s="1715"/>
      <c r="J60" s="1715"/>
      <c r="K60" s="1715"/>
      <c r="L60" s="1715"/>
      <c r="M60" s="1715"/>
      <c r="N60" s="1715"/>
      <c r="O60" s="1715"/>
      <c r="P60" s="1732">
        <f t="shared" si="40"/>
        <v>0</v>
      </c>
      <c r="Q60" s="46">
        <f t="shared" si="33"/>
        <v>0</v>
      </c>
      <c r="R60" s="1016">
        <f>SUM(F60:G60,H60/2)</f>
        <v>0</v>
      </c>
      <c r="S60" s="1775">
        <f t="shared" si="51"/>
        <v>0</v>
      </c>
      <c r="T60" s="1775">
        <f t="shared" si="52"/>
        <v>0</v>
      </c>
      <c r="U60" s="1605" t="e">
        <f t="shared" si="53"/>
        <v>#DIV/0!</v>
      </c>
      <c r="V60" s="1699"/>
      <c r="W60" s="1699"/>
      <c r="X60" s="1009">
        <f>SUM(H60/2,I60:O60)</f>
        <v>0</v>
      </c>
      <c r="Y60" s="1616" t="e">
        <f t="shared" si="54"/>
        <v>#DIV/0!</v>
      </c>
      <c r="Z60" s="1009"/>
      <c r="AA60" s="1616" t="e">
        <f t="shared" si="37"/>
        <v>#DIV/0!</v>
      </c>
      <c r="AB60" s="1008"/>
      <c r="AC60" s="1019"/>
      <c r="AE60" s="46">
        <f t="shared" si="55"/>
        <v>0</v>
      </c>
      <c r="AG60" s="1792">
        <f t="shared" si="58"/>
        <v>0</v>
      </c>
      <c r="AH60" s="1792">
        <f t="shared" si="59"/>
        <v>0</v>
      </c>
      <c r="AI60" s="1792">
        <f t="shared" si="60"/>
        <v>0</v>
      </c>
      <c r="AJ60" s="1792">
        <f t="shared" si="59"/>
        <v>0</v>
      </c>
    </row>
    <row r="61" spans="2:36" outlineLevel="1">
      <c r="B61" s="1007" t="s">
        <v>5</v>
      </c>
      <c r="C61" s="1008" t="s">
        <v>208</v>
      </c>
      <c r="D61" s="1008" t="s">
        <v>1567</v>
      </c>
      <c r="E61" s="1011" t="s">
        <v>0</v>
      </c>
      <c r="F61" s="1716"/>
      <c r="G61" s="1716"/>
      <c r="H61" s="1716">
        <f>'N_02 Vstupy'!$I$140*1.2*9/12</f>
        <v>313470</v>
      </c>
      <c r="I61" s="1716">
        <f>'N_02 Vstupy'!$I$140*1.2</f>
        <v>417960</v>
      </c>
      <c r="J61" s="1716">
        <f>'N_02 Vstupy'!$I$140*1.2</f>
        <v>417960</v>
      </c>
      <c r="K61" s="1716">
        <f>'N_02 Vstupy'!$I$140*1.2</f>
        <v>417960</v>
      </c>
      <c r="L61" s="1716">
        <f>'N_02 Vstupy'!$I$140*1.2</f>
        <v>417960</v>
      </c>
      <c r="M61" s="1716">
        <f>'N_02 Vstupy'!$I$140*1.2</f>
        <v>417960</v>
      </c>
      <c r="N61" s="1716">
        <f>'N_02 Vstupy'!$I$140*1.2</f>
        <v>417960</v>
      </c>
      <c r="O61" s="1716">
        <f>'N_02 Vstupy'!$I$140*1.2</f>
        <v>417960</v>
      </c>
      <c r="P61" s="1732">
        <f t="shared" si="40"/>
        <v>3239190</v>
      </c>
      <c r="Q61" s="46">
        <f t="shared" si="33"/>
        <v>0</v>
      </c>
      <c r="R61" s="1222">
        <f>SUM(F61:G61,H61*1/3)</f>
        <v>104490</v>
      </c>
      <c r="S61" s="1775">
        <f t="shared" si="51"/>
        <v>87075</v>
      </c>
      <c r="T61" s="1775">
        <f t="shared" si="52"/>
        <v>17415</v>
      </c>
      <c r="U61" s="1606">
        <f t="shared" si="53"/>
        <v>3.2258064516129031E-2</v>
      </c>
      <c r="V61" s="1700">
        <f>H61*2/3</f>
        <v>208980</v>
      </c>
      <c r="W61" s="1700">
        <f>SUM(I61:O61)</f>
        <v>2925720</v>
      </c>
      <c r="X61" s="1012">
        <f>SUM(H61*2/3,I61:O61)</f>
        <v>3134700</v>
      </c>
      <c r="Y61" s="1617">
        <f t="shared" si="54"/>
        <v>0.967741935483871</v>
      </c>
      <c r="Z61" s="1012"/>
      <c r="AA61" s="1617">
        <f t="shared" si="37"/>
        <v>0</v>
      </c>
      <c r="AB61" s="1008"/>
      <c r="AC61" s="1019"/>
      <c r="AE61" s="46">
        <f t="shared" si="55"/>
        <v>0</v>
      </c>
      <c r="AG61" s="1793">
        <f t="shared" si="58"/>
        <v>174150</v>
      </c>
      <c r="AH61" s="1793">
        <f t="shared" si="59"/>
        <v>34830</v>
      </c>
      <c r="AI61" s="1793">
        <f t="shared" si="60"/>
        <v>2438100</v>
      </c>
      <c r="AJ61" s="1793">
        <f t="shared" si="59"/>
        <v>487620</v>
      </c>
    </row>
    <row r="62" spans="2:36" outlineLevel="1">
      <c r="B62" s="1007" t="s">
        <v>5</v>
      </c>
      <c r="C62" s="1008" t="s">
        <v>208</v>
      </c>
      <c r="D62" s="1008" t="s">
        <v>1562</v>
      </c>
      <c r="E62" s="1008" t="s">
        <v>0</v>
      </c>
      <c r="F62" s="1716"/>
      <c r="G62" s="1716"/>
      <c r="H62" s="1716">
        <f>'N_02 Vstupy'!$I$141*1.2*0.75</f>
        <v>53773.2</v>
      </c>
      <c r="I62" s="1716">
        <f>'N_02 Vstupy'!$I$141*1.2</f>
        <v>71697.599999999991</v>
      </c>
      <c r="J62" s="1716">
        <f>'N_02 Vstupy'!$I$141*1.2</f>
        <v>71697.599999999991</v>
      </c>
      <c r="K62" s="1716">
        <f>'N_02 Vstupy'!$I$141*1.2</f>
        <v>71697.599999999991</v>
      </c>
      <c r="L62" s="1716">
        <f>'N_02 Vstupy'!$I$141*1.2</f>
        <v>71697.599999999991</v>
      </c>
      <c r="M62" s="1716">
        <f>'N_02 Vstupy'!$I$141*1.2</f>
        <v>71697.599999999991</v>
      </c>
      <c r="N62" s="1716">
        <f>'N_02 Vstupy'!$I$141*1.2</f>
        <v>71697.599999999991</v>
      </c>
      <c r="O62" s="1716">
        <f>'N_02 Vstupy'!$I$141*1.2</f>
        <v>71697.599999999991</v>
      </c>
      <c r="P62" s="1732">
        <f t="shared" si="40"/>
        <v>555656.39999999991</v>
      </c>
      <c r="Q62" s="46">
        <f t="shared" si="33"/>
        <v>0</v>
      </c>
      <c r="R62" s="1016">
        <f>SUM(F62:G62,H62*1/3)</f>
        <v>17924.399999999998</v>
      </c>
      <c r="S62" s="1775">
        <f t="shared" si="51"/>
        <v>14936.999999999998</v>
      </c>
      <c r="T62" s="1775">
        <f t="shared" si="52"/>
        <v>2987.3999999999996</v>
      </c>
      <c r="U62" s="1605">
        <f t="shared" si="53"/>
        <v>3.2258064516129031E-2</v>
      </c>
      <c r="V62" s="1699">
        <f>H62*2/3</f>
        <v>35848.799999999996</v>
      </c>
      <c r="W62" s="1699">
        <f>SUM(I62:O62)</f>
        <v>501883.1999999999</v>
      </c>
      <c r="X62" s="1009">
        <f>SUM(H62*2/3,I62:O62)</f>
        <v>537731.99999999988</v>
      </c>
      <c r="Y62" s="1616">
        <f t="shared" si="54"/>
        <v>0.96774193548387089</v>
      </c>
      <c r="Z62" s="1009"/>
      <c r="AA62" s="1616">
        <f t="shared" si="37"/>
        <v>0</v>
      </c>
      <c r="AB62" s="1008"/>
      <c r="AC62" s="1019"/>
      <c r="AE62" s="46">
        <f t="shared" si="55"/>
        <v>0</v>
      </c>
      <c r="AG62" s="1792">
        <f t="shared" si="58"/>
        <v>29873.999999999996</v>
      </c>
      <c r="AH62" s="1792">
        <f t="shared" si="59"/>
        <v>5974.7999999999993</v>
      </c>
      <c r="AI62" s="1792">
        <f t="shared" si="60"/>
        <v>418235.99999999994</v>
      </c>
      <c r="AJ62" s="1792">
        <f t="shared" si="59"/>
        <v>83647.199999999997</v>
      </c>
    </row>
    <row r="63" spans="2:36" outlineLevel="1">
      <c r="B63" s="1007" t="s">
        <v>5</v>
      </c>
      <c r="C63" s="1008" t="s">
        <v>208</v>
      </c>
      <c r="D63" s="1008" t="s">
        <v>1563</v>
      </c>
      <c r="E63" s="1011" t="s">
        <v>0</v>
      </c>
      <c r="F63" s="1716"/>
      <c r="G63" s="1716"/>
      <c r="H63" s="1716">
        <f>'N_02 Vstupy'!C159</f>
        <v>81646.610880441265</v>
      </c>
      <c r="I63" s="1716">
        <f>'N_02 Vstupy'!D159</f>
        <v>337656.91482701048</v>
      </c>
      <c r="J63" s="1716">
        <f>'N_02 Vstupy'!E159</f>
        <v>519545.82318714162</v>
      </c>
      <c r="K63" s="1716">
        <f>'N_02 Vstupy'!F159</f>
        <v>688505.29808765615</v>
      </c>
      <c r="L63" s="1716">
        <f>'N_02 Vstupy'!G159</f>
        <v>860822.18626824522</v>
      </c>
      <c r="M63" s="1716">
        <f>'N_02 Vstupy'!H159</f>
        <v>1036664.7719967484</v>
      </c>
      <c r="N63" s="1716">
        <f>'N_02 Vstupy'!I159</f>
        <v>1216207.7219301877</v>
      </c>
      <c r="O63" s="1716">
        <f>'N_02 Vstupy'!J159</f>
        <v>1399632.5526538081</v>
      </c>
      <c r="P63" s="1732">
        <f t="shared" si="40"/>
        <v>6140681.8798312396</v>
      </c>
      <c r="Q63" s="46">
        <f t="shared" si="33"/>
        <v>0</v>
      </c>
      <c r="R63" s="1222">
        <v>0</v>
      </c>
      <c r="S63" s="1777"/>
      <c r="T63" s="1777"/>
      <c r="U63" s="1606">
        <f t="shared" si="53"/>
        <v>0</v>
      </c>
      <c r="V63" s="1700"/>
      <c r="W63" s="1700"/>
      <c r="X63" s="1012"/>
      <c r="Y63" s="1617">
        <f t="shared" si="54"/>
        <v>0</v>
      </c>
      <c r="Z63" s="1012">
        <f>SUM(H63:O63)</f>
        <v>6140681.8798312396</v>
      </c>
      <c r="AA63" s="1617">
        <f t="shared" si="37"/>
        <v>1</v>
      </c>
      <c r="AB63" s="1008"/>
      <c r="AC63" s="1019"/>
      <c r="AE63" s="46">
        <f t="shared" si="55"/>
        <v>-6140681.8798312396</v>
      </c>
      <c r="AG63" s="1793">
        <f t="shared" si="58"/>
        <v>0</v>
      </c>
      <c r="AH63" s="1793">
        <f t="shared" si="59"/>
        <v>0</v>
      </c>
      <c r="AI63" s="1793">
        <f t="shared" si="60"/>
        <v>0</v>
      </c>
      <c r="AJ63" s="1793">
        <f t="shared" si="59"/>
        <v>0</v>
      </c>
    </row>
    <row r="64" spans="2:36" outlineLevel="1">
      <c r="B64" s="1002"/>
      <c r="C64" s="1003" t="s">
        <v>1372</v>
      </c>
      <c r="D64" s="1004"/>
      <c r="E64" s="1004"/>
      <c r="F64" s="1713">
        <f>SUM(F65:F68)</f>
        <v>395529.45</v>
      </c>
      <c r="G64" s="1713">
        <f t="shared" ref="G64:O64" si="61">SUM(G65:G68)</f>
        <v>929551.95</v>
      </c>
      <c r="H64" s="1713">
        <f t="shared" si="61"/>
        <v>1171684.95</v>
      </c>
      <c r="I64" s="1713">
        <f t="shared" si="61"/>
        <v>720027</v>
      </c>
      <c r="J64" s="1713">
        <f t="shared" si="61"/>
        <v>720027</v>
      </c>
      <c r="K64" s="1713">
        <f t="shared" si="61"/>
        <v>669351</v>
      </c>
      <c r="L64" s="1713">
        <f t="shared" si="61"/>
        <v>669351</v>
      </c>
      <c r="M64" s="1713">
        <f t="shared" si="61"/>
        <v>669351</v>
      </c>
      <c r="N64" s="1713">
        <f t="shared" si="61"/>
        <v>669351</v>
      </c>
      <c r="O64" s="1713">
        <f t="shared" si="61"/>
        <v>669351</v>
      </c>
      <c r="P64" s="1714">
        <f t="shared" si="40"/>
        <v>7283575.3499999996</v>
      </c>
      <c r="Q64" s="46">
        <f t="shared" si="33"/>
        <v>0</v>
      </c>
      <c r="R64" s="1007"/>
      <c r="S64" s="1776"/>
      <c r="T64" s="1776"/>
      <c r="U64" s="1605"/>
      <c r="V64" s="1699"/>
      <c r="W64" s="1699"/>
      <c r="X64" s="1009"/>
      <c r="Y64" s="1616"/>
      <c r="Z64" s="1009"/>
      <c r="AA64" s="1616">
        <f t="shared" si="37"/>
        <v>0</v>
      </c>
      <c r="AB64" s="1008"/>
      <c r="AC64" s="1019"/>
      <c r="AE64" s="46"/>
      <c r="AG64" s="1792">
        <f t="shared" si="58"/>
        <v>0</v>
      </c>
      <c r="AH64" s="1792">
        <f t="shared" si="59"/>
        <v>0</v>
      </c>
      <c r="AI64" s="1792">
        <f t="shared" si="60"/>
        <v>0</v>
      </c>
      <c r="AJ64" s="1792">
        <f t="shared" si="59"/>
        <v>0</v>
      </c>
    </row>
    <row r="65" spans="2:36" outlineLevel="1">
      <c r="B65" s="1007" t="s">
        <v>5</v>
      </c>
      <c r="C65" s="1008" t="s">
        <v>209</v>
      </c>
      <c r="D65" s="1008" t="s">
        <v>210</v>
      </c>
      <c r="E65" s="1008" t="s">
        <v>0</v>
      </c>
      <c r="F65" s="1716">
        <f>'N_02 Vstupy'!$C$54</f>
        <v>69264</v>
      </c>
      <c r="G65" s="1716">
        <f>'N_02 Vstupy'!$D$54</f>
        <v>138528</v>
      </c>
      <c r="H65" s="1716">
        <f>'N_02 Vstupy'!$E$54</f>
        <v>138528</v>
      </c>
      <c r="I65" s="1716">
        <f>'N_02 Vstupy'!$F$54</f>
        <v>92352</v>
      </c>
      <c r="J65" s="1716">
        <f>'N_02 Vstupy'!$G$54</f>
        <v>92352</v>
      </c>
      <c r="K65" s="1716">
        <f>'N_02 Vstupy'!$H$54</f>
        <v>46176</v>
      </c>
      <c r="L65" s="1716">
        <f>'N_02 Vstupy'!$I$54</f>
        <v>46176</v>
      </c>
      <c r="M65" s="1716">
        <f>'N_02 Vstupy'!$J$54</f>
        <v>46176</v>
      </c>
      <c r="N65" s="1716">
        <f>'N_02 Vstupy'!$K$54</f>
        <v>46176</v>
      </c>
      <c r="O65" s="1716">
        <f>'N_02 Vstupy'!$L$54</f>
        <v>46176</v>
      </c>
      <c r="P65" s="1732">
        <f t="shared" si="40"/>
        <v>761904</v>
      </c>
      <c r="Q65" s="46">
        <f t="shared" si="33"/>
        <v>0</v>
      </c>
      <c r="R65" s="1016">
        <f>SUM(F65:G65,H65/2)</f>
        <v>277056</v>
      </c>
      <c r="S65" s="1775">
        <f>R65</f>
        <v>277056</v>
      </c>
      <c r="T65" s="1775"/>
      <c r="U65" s="1605">
        <f>R65/P65</f>
        <v>0.36363636363636365</v>
      </c>
      <c r="V65" s="1699">
        <f>H65/2</f>
        <v>69264</v>
      </c>
      <c r="W65" s="1699">
        <f>SUM(I65:O65)</f>
        <v>415584</v>
      </c>
      <c r="X65" s="1009">
        <f>SUM(H65/2,I65:O65)</f>
        <v>484848</v>
      </c>
      <c r="Y65" s="1616">
        <f>X65/P65</f>
        <v>0.63636363636363635</v>
      </c>
      <c r="Z65" s="1009"/>
      <c r="AA65" s="1616">
        <f t="shared" si="37"/>
        <v>0</v>
      </c>
      <c r="AB65" s="1008"/>
      <c r="AC65" s="1019"/>
      <c r="AE65" s="46">
        <f>SUM(R65,X65)-P65</f>
        <v>0</v>
      </c>
      <c r="AG65" s="1796">
        <f>V65</f>
        <v>69264</v>
      </c>
      <c r="AH65" s="1796"/>
      <c r="AI65" s="1796">
        <f>W65</f>
        <v>415584</v>
      </c>
      <c r="AJ65" s="1796"/>
    </row>
    <row r="66" spans="2:36" outlineLevel="1">
      <c r="B66" s="1007" t="s">
        <v>5</v>
      </c>
      <c r="C66" s="1008" t="s">
        <v>205</v>
      </c>
      <c r="D66" s="1008" t="s">
        <v>404</v>
      </c>
      <c r="E66" s="1008" t="s">
        <v>0</v>
      </c>
      <c r="F66" s="1716">
        <f>'N_02 Vstupy'!$C$58</f>
        <v>300165.45</v>
      </c>
      <c r="G66" s="1716">
        <f>'N_02 Vstupy'!$D$58</f>
        <v>731173.95</v>
      </c>
      <c r="H66" s="1716">
        <f>'N_02 Vstupy'!$E$58</f>
        <v>377131.95</v>
      </c>
      <c r="I66" s="1716">
        <f>'N_02 Vstupy'!$F$58</f>
        <v>0</v>
      </c>
      <c r="J66" s="1716">
        <f>'N_02 Vstupy'!$G$58</f>
        <v>0</v>
      </c>
      <c r="K66" s="1716">
        <f>'N_02 Vstupy'!$H$58</f>
        <v>0</v>
      </c>
      <c r="L66" s="1716">
        <f>'N_02 Vstupy'!$I$58</f>
        <v>0</v>
      </c>
      <c r="M66" s="1716">
        <f>'N_02 Vstupy'!$J$58</f>
        <v>0</v>
      </c>
      <c r="N66" s="1716">
        <f>'N_02 Vstupy'!$K$58</f>
        <v>0</v>
      </c>
      <c r="O66" s="1716">
        <f>'N_02 Vstupy'!$L$58</f>
        <v>0</v>
      </c>
      <c r="P66" s="1732">
        <f t="shared" si="40"/>
        <v>1408471.3499999999</v>
      </c>
      <c r="Q66" s="46">
        <f t="shared" si="33"/>
        <v>0</v>
      </c>
      <c r="R66" s="1016">
        <f>SUM(F66:G66,H66)</f>
        <v>1408471.3499999999</v>
      </c>
      <c r="S66" s="1775">
        <f>R66</f>
        <v>1408471.3499999999</v>
      </c>
      <c r="T66" s="1775"/>
      <c r="U66" s="1605">
        <f>R66/P66</f>
        <v>1</v>
      </c>
      <c r="V66" s="1699"/>
      <c r="W66" s="1699"/>
      <c r="X66" s="1009">
        <f>SUM(I66:O66)</f>
        <v>0</v>
      </c>
      <c r="Y66" s="1616">
        <f>X66/P66</f>
        <v>0</v>
      </c>
      <c r="Z66" s="1009"/>
      <c r="AA66" s="1616">
        <f t="shared" si="37"/>
        <v>0</v>
      </c>
      <c r="AB66" s="1008"/>
      <c r="AC66" s="1019"/>
      <c r="AE66" s="46">
        <f>SUM(R66,X66)-P66</f>
        <v>0</v>
      </c>
      <c r="AG66" s="1796">
        <f t="shared" ref="AG66:AG67" si="62">V66</f>
        <v>0</v>
      </c>
      <c r="AH66" s="1796"/>
      <c r="AI66" s="1796">
        <f t="shared" ref="AI66:AI67" si="63">W66</f>
        <v>0</v>
      </c>
      <c r="AJ66" s="1796"/>
    </row>
    <row r="67" spans="2:36" outlineLevel="1">
      <c r="B67" s="1007" t="s">
        <v>5</v>
      </c>
      <c r="C67" s="1008" t="s">
        <v>205</v>
      </c>
      <c r="D67" s="1008" t="s">
        <v>402</v>
      </c>
      <c r="E67" s="1008" t="s">
        <v>0</v>
      </c>
      <c r="F67" s="1716">
        <f>'N_02 Vstupy'!$C$68</f>
        <v>0</v>
      </c>
      <c r="G67" s="1716">
        <f>'N_02 Vstupy'!$D$68</f>
        <v>0</v>
      </c>
      <c r="H67" s="1716">
        <f>'N_02 Vstupy'!E$68</f>
        <v>578175</v>
      </c>
      <c r="I67" s="1716">
        <f>'N_02 Vstupy'!$F$68</f>
        <v>578175</v>
      </c>
      <c r="J67" s="1716">
        <f>'N_02 Vstupy'!$G$68</f>
        <v>578175</v>
      </c>
      <c r="K67" s="1716">
        <f>'N_02 Vstupy'!$H$68</f>
        <v>578175</v>
      </c>
      <c r="L67" s="1716">
        <f>'N_02 Vstupy'!$I$68</f>
        <v>578175</v>
      </c>
      <c r="M67" s="1716">
        <f>'N_02 Vstupy'!$J$68</f>
        <v>578175</v>
      </c>
      <c r="N67" s="1716">
        <f>'N_02 Vstupy'!$K$68</f>
        <v>578175</v>
      </c>
      <c r="O67" s="1716">
        <f>'N_02 Vstupy'!$L$68</f>
        <v>578175</v>
      </c>
      <c r="P67" s="1732">
        <f t="shared" si="40"/>
        <v>4625400</v>
      </c>
      <c r="Q67" s="46">
        <f t="shared" si="33"/>
        <v>0</v>
      </c>
      <c r="R67" s="1016">
        <f>SUM(F67:G67,H67/2)</f>
        <v>289087.5</v>
      </c>
      <c r="S67" s="1775">
        <f t="shared" ref="S67" si="64">R67</f>
        <v>289087.5</v>
      </c>
      <c r="T67" s="1775"/>
      <c r="U67" s="1605">
        <f>R67/P67</f>
        <v>6.25E-2</v>
      </c>
      <c r="V67" s="1699">
        <f>H67/2</f>
        <v>289087.5</v>
      </c>
      <c r="W67" s="1699">
        <f>SUM(I67:O67)</f>
        <v>4047225</v>
      </c>
      <c r="X67" s="1009">
        <f>SUM(H67/2,I67:O67)</f>
        <v>4336312.5</v>
      </c>
      <c r="Y67" s="1616">
        <f>X67/P67</f>
        <v>0.9375</v>
      </c>
      <c r="Z67" s="1009"/>
      <c r="AA67" s="1616">
        <f t="shared" si="37"/>
        <v>0</v>
      </c>
      <c r="AB67" s="1008"/>
      <c r="AC67" s="1019"/>
      <c r="AE67" s="46">
        <f>SUM(R67,X67)-P67</f>
        <v>0</v>
      </c>
      <c r="AG67" s="1796">
        <f t="shared" si="62"/>
        <v>289087.5</v>
      </c>
      <c r="AH67" s="1796"/>
      <c r="AI67" s="1796">
        <f t="shared" si="63"/>
        <v>4047225</v>
      </c>
      <c r="AJ67" s="1796"/>
    </row>
    <row r="68" spans="2:36" outlineLevel="1">
      <c r="B68" s="1007" t="s">
        <v>5</v>
      </c>
      <c r="C68" s="1008" t="s">
        <v>209</v>
      </c>
      <c r="D68" s="1008" t="s">
        <v>1851</v>
      </c>
      <c r="E68" s="1008" t="s">
        <v>0</v>
      </c>
      <c r="F68" s="1716">
        <f>'N_02 Vstupy'!C74*1.2</f>
        <v>26100</v>
      </c>
      <c r="G68" s="1716">
        <f>'N_02 Vstupy'!D74*1.2</f>
        <v>59850</v>
      </c>
      <c r="H68" s="1716">
        <f>'N_02 Vstupy'!E74*1.2</f>
        <v>77850</v>
      </c>
      <c r="I68" s="1716">
        <f>'N_02 Vstupy'!F74*1.2</f>
        <v>49500</v>
      </c>
      <c r="J68" s="1716">
        <f>'N_02 Vstupy'!G74*1.2</f>
        <v>49500</v>
      </c>
      <c r="K68" s="1716">
        <f>'N_02 Vstupy'!H74*1.2</f>
        <v>45000</v>
      </c>
      <c r="L68" s="1716">
        <f>'N_02 Vstupy'!I74*1.2</f>
        <v>45000</v>
      </c>
      <c r="M68" s="1716">
        <f>'N_02 Vstupy'!J74*1.2</f>
        <v>45000</v>
      </c>
      <c r="N68" s="1716">
        <f>'N_02 Vstupy'!K74*1.2</f>
        <v>45000</v>
      </c>
      <c r="O68" s="1716">
        <f>'N_02 Vstupy'!L74*1.2</f>
        <v>45000</v>
      </c>
      <c r="P68" s="1732">
        <f>SUM(F68:O68)</f>
        <v>487800</v>
      </c>
      <c r="Q68" s="46">
        <f t="shared" ref="Q68" si="65">X68-W68-V68</f>
        <v>0</v>
      </c>
      <c r="R68" s="1016">
        <f>SUM(F68:G68,H68/2)</f>
        <v>124875</v>
      </c>
      <c r="S68" s="1775">
        <f t="shared" ref="S68:S70" si="66">R68/1.2</f>
        <v>104062.5</v>
      </c>
      <c r="T68" s="1775">
        <f t="shared" ref="T68:T70" si="67">S68*0.2</f>
        <v>20812.5</v>
      </c>
      <c r="U68" s="1605">
        <f>R68/P68</f>
        <v>0.25599630996309963</v>
      </c>
      <c r="V68" s="1699">
        <f>H68/2</f>
        <v>38925</v>
      </c>
      <c r="W68" s="1699">
        <f>SUM(I68:O68)</f>
        <v>324000</v>
      </c>
      <c r="X68" s="1009">
        <f>SUM(H68/2,I68:O68)</f>
        <v>362925</v>
      </c>
      <c r="Y68" s="1616">
        <f>X68/P68</f>
        <v>0.74400369003690037</v>
      </c>
      <c r="Z68" s="1009"/>
      <c r="AA68" s="1616">
        <f t="shared" ref="AA68" si="68">Z68/P68</f>
        <v>0</v>
      </c>
      <c r="AB68" s="1008"/>
      <c r="AC68" s="1019"/>
      <c r="AE68" s="46">
        <f>SUM(R68,X68)-P68</f>
        <v>0</v>
      </c>
      <c r="AG68" s="1792">
        <f t="shared" si="58"/>
        <v>32437.5</v>
      </c>
      <c r="AH68" s="1792">
        <f t="shared" si="59"/>
        <v>6487.5</v>
      </c>
      <c r="AI68" s="1792">
        <f t="shared" si="60"/>
        <v>270000</v>
      </c>
      <c r="AJ68" s="1792">
        <f t="shared" si="59"/>
        <v>54000</v>
      </c>
    </row>
    <row r="69" spans="2:36" outlineLevel="1">
      <c r="B69" s="1002"/>
      <c r="C69" s="1003" t="s">
        <v>1843</v>
      </c>
      <c r="D69" s="1004"/>
      <c r="E69" s="1004"/>
      <c r="F69" s="1713">
        <f>SUM(F70)</f>
        <v>594432</v>
      </c>
      <c r="G69" s="1713">
        <f t="shared" ref="G69" si="69">SUM(G70)</f>
        <v>1188864</v>
      </c>
      <c r="H69" s="1713">
        <f t="shared" ref="H69" si="70">SUM(H70)</f>
        <v>1188864</v>
      </c>
      <c r="I69" s="1713">
        <f t="shared" ref="I69" si="71">SUM(I70)</f>
        <v>0</v>
      </c>
      <c r="J69" s="1713">
        <f t="shared" ref="J69" si="72">SUM(J70)</f>
        <v>0</v>
      </c>
      <c r="K69" s="1713">
        <f t="shared" ref="K69" si="73">SUM(K70)</f>
        <v>0</v>
      </c>
      <c r="L69" s="1713">
        <f t="shared" ref="L69" si="74">SUM(L70)</f>
        <v>0</v>
      </c>
      <c r="M69" s="1713">
        <f t="shared" ref="M69" si="75">SUM(M70)</f>
        <v>0</v>
      </c>
      <c r="N69" s="1713">
        <f t="shared" ref="N69" si="76">SUM(N70)</f>
        <v>0</v>
      </c>
      <c r="O69" s="1713">
        <f t="shared" ref="O69" si="77">SUM(O70)</f>
        <v>0</v>
      </c>
      <c r="P69" s="1714">
        <f t="shared" si="40"/>
        <v>2972160</v>
      </c>
      <c r="Q69" s="46">
        <f t="shared" si="33"/>
        <v>0</v>
      </c>
      <c r="R69" s="1007"/>
      <c r="S69" s="1776"/>
      <c r="T69" s="1776"/>
      <c r="U69" s="1605"/>
      <c r="V69" s="1699"/>
      <c r="W69" s="1699"/>
      <c r="X69" s="1009"/>
      <c r="Y69" s="1616"/>
      <c r="Z69" s="1009"/>
      <c r="AA69" s="1616">
        <f t="shared" si="37"/>
        <v>0</v>
      </c>
      <c r="AB69" s="1008"/>
      <c r="AC69" s="1019"/>
      <c r="AE69" s="46"/>
      <c r="AG69" s="1792">
        <f t="shared" si="58"/>
        <v>0</v>
      </c>
      <c r="AH69" s="1792">
        <f t="shared" si="59"/>
        <v>0</v>
      </c>
      <c r="AI69" s="1792">
        <f t="shared" si="60"/>
        <v>0</v>
      </c>
      <c r="AJ69" s="1792">
        <f t="shared" si="59"/>
        <v>0</v>
      </c>
    </row>
    <row r="70" spans="2:36" outlineLevel="1">
      <c r="B70" s="1007" t="s">
        <v>5</v>
      </c>
      <c r="C70" s="1008" t="s">
        <v>209</v>
      </c>
      <c r="D70" s="1008" t="s">
        <v>1844</v>
      </c>
      <c r="E70" s="1008" t="s">
        <v>0</v>
      </c>
      <c r="F70" s="1716">
        <f>'N_02 Vstupy'!$D$102*1.2</f>
        <v>594432</v>
      </c>
      <c r="G70" s="1716">
        <f>'N_02 Vstupy'!$F$102*1.2</f>
        <v>1188864</v>
      </c>
      <c r="H70" s="1716">
        <f>'N_02 Vstupy'!$H$102*1.2</f>
        <v>1188864</v>
      </c>
      <c r="I70" s="1716">
        <f>'N_02 Vstupy'!$J$102*1.2</f>
        <v>0</v>
      </c>
      <c r="J70" s="1716"/>
      <c r="K70" s="1716"/>
      <c r="L70" s="1716"/>
      <c r="M70" s="1716"/>
      <c r="N70" s="1716"/>
      <c r="O70" s="1716"/>
      <c r="P70" s="1732">
        <f t="shared" si="40"/>
        <v>2972160</v>
      </c>
      <c r="Q70" s="46">
        <f t="shared" si="33"/>
        <v>0</v>
      </c>
      <c r="R70" s="1016">
        <f>SUM(F70:G70,H70)</f>
        <v>2972160</v>
      </c>
      <c r="S70" s="1775">
        <f t="shared" si="66"/>
        <v>2476800</v>
      </c>
      <c r="T70" s="1775">
        <f t="shared" si="67"/>
        <v>495360</v>
      </c>
      <c r="U70" s="1605">
        <f>R70/P70</f>
        <v>1</v>
      </c>
      <c r="V70" s="1699"/>
      <c r="W70" s="1699"/>
      <c r="X70" s="1009"/>
      <c r="Y70" s="1616">
        <f>X70/P70</f>
        <v>0</v>
      </c>
      <c r="Z70" s="1009"/>
      <c r="AA70" s="1616">
        <f t="shared" si="37"/>
        <v>0</v>
      </c>
      <c r="AB70" s="1008"/>
      <c r="AC70" s="1019"/>
      <c r="AE70" s="46">
        <f>SUM(R70,X70)-P70</f>
        <v>0</v>
      </c>
      <c r="AG70" s="1792">
        <f t="shared" si="58"/>
        <v>0</v>
      </c>
      <c r="AH70" s="1792">
        <f t="shared" si="59"/>
        <v>0</v>
      </c>
      <c r="AI70" s="1792">
        <f t="shared" si="60"/>
        <v>0</v>
      </c>
      <c r="AJ70" s="1792">
        <f t="shared" si="59"/>
        <v>0</v>
      </c>
    </row>
    <row r="71" spans="2:36" outlineLevel="1">
      <c r="B71" s="1002"/>
      <c r="C71" s="1003" t="s">
        <v>1373</v>
      </c>
      <c r="D71" s="1004"/>
      <c r="E71" s="1004"/>
      <c r="F71" s="1713">
        <f>SUM(F72)</f>
        <v>0</v>
      </c>
      <c r="G71" s="1713">
        <f t="shared" ref="G71" si="78">SUM(G72)</f>
        <v>478884</v>
      </c>
      <c r="H71" s="1713">
        <f t="shared" ref="H71" si="79">SUM(H72)</f>
        <v>1915536</v>
      </c>
      <c r="I71" s="1713">
        <f t="shared" ref="I71" si="80">SUM(I72)</f>
        <v>60000</v>
      </c>
      <c r="J71" s="1713">
        <f t="shared" ref="J71" si="81">SUM(J72)</f>
        <v>60000</v>
      </c>
      <c r="K71" s="1713">
        <f t="shared" ref="K71" si="82">SUM(K72)</f>
        <v>0</v>
      </c>
      <c r="L71" s="1713">
        <f t="shared" ref="L71" si="83">SUM(L72)</f>
        <v>0</v>
      </c>
      <c r="M71" s="1713">
        <f t="shared" ref="M71" si="84">SUM(M72)</f>
        <v>0</v>
      </c>
      <c r="N71" s="1713">
        <f t="shared" ref="N71" si="85">SUM(N72)</f>
        <v>0</v>
      </c>
      <c r="O71" s="1713">
        <f t="shared" ref="O71" si="86">SUM(O72)</f>
        <v>0</v>
      </c>
      <c r="P71" s="1714">
        <f t="shared" si="40"/>
        <v>2514420</v>
      </c>
      <c r="Q71" s="46">
        <f t="shared" si="33"/>
        <v>0</v>
      </c>
      <c r="R71" s="1007"/>
      <c r="S71" s="1776"/>
      <c r="T71" s="1776"/>
      <c r="U71" s="1605"/>
      <c r="V71" s="1699"/>
      <c r="W71" s="1699"/>
      <c r="X71" s="1009"/>
      <c r="Y71" s="1616"/>
      <c r="Z71" s="1009"/>
      <c r="AA71" s="1616">
        <f t="shared" si="37"/>
        <v>0</v>
      </c>
      <c r="AB71" s="1008"/>
      <c r="AC71" s="1019"/>
      <c r="AE71" s="46"/>
      <c r="AG71" s="1792">
        <f t="shared" si="58"/>
        <v>0</v>
      </c>
      <c r="AH71" s="1792">
        <f t="shared" si="59"/>
        <v>0</v>
      </c>
      <c r="AI71" s="1792">
        <f t="shared" si="60"/>
        <v>0</v>
      </c>
      <c r="AJ71" s="1792">
        <f t="shared" si="59"/>
        <v>0</v>
      </c>
    </row>
    <row r="72" spans="2:36" ht="12.75" outlineLevel="1" thickBot="1">
      <c r="B72" s="1013" t="s">
        <v>5</v>
      </c>
      <c r="C72" s="1014" t="s">
        <v>1431</v>
      </c>
      <c r="D72" s="1014" t="s">
        <v>1431</v>
      </c>
      <c r="E72" s="1014" t="s">
        <v>0</v>
      </c>
      <c r="F72" s="1733"/>
      <c r="G72" s="1733">
        <f>'N_02 Vstupy'!$C$113*1.2</f>
        <v>478884</v>
      </c>
      <c r="H72" s="1733">
        <f>'N_02 Vstupy'!$D$113*1.2</f>
        <v>1915536</v>
      </c>
      <c r="I72" s="1733">
        <f>'N_02 Vstupy'!$E$113*1.2</f>
        <v>60000</v>
      </c>
      <c r="J72" s="1733">
        <f>'N_02 Vstupy'!$F$113*1.2</f>
        <v>60000</v>
      </c>
      <c r="K72" s="1733"/>
      <c r="L72" s="1733"/>
      <c r="M72" s="1733"/>
      <c r="N72" s="1733"/>
      <c r="O72" s="1733"/>
      <c r="P72" s="1734">
        <f t="shared" si="40"/>
        <v>2514420</v>
      </c>
      <c r="Q72" s="46">
        <f t="shared" si="33"/>
        <v>0</v>
      </c>
      <c r="R72" s="1020">
        <f>SUM(F72:G72,H72)</f>
        <v>2394420</v>
      </c>
      <c r="S72" s="1779">
        <f t="shared" ref="S72" si="87">R72/1.2</f>
        <v>1995350</v>
      </c>
      <c r="T72" s="1779">
        <f t="shared" ref="T72" si="88">S72*0.2</f>
        <v>399070</v>
      </c>
      <c r="U72" s="1608">
        <f>R72/P72</f>
        <v>0.95227527620683894</v>
      </c>
      <c r="V72" s="1702"/>
      <c r="W72" s="1702">
        <f>SUM(I72:J72)</f>
        <v>120000</v>
      </c>
      <c r="X72" s="1015">
        <f>SUM(I72:J72)</f>
        <v>120000</v>
      </c>
      <c r="Y72" s="1619">
        <f>X72/P72</f>
        <v>4.7724723793161047E-2</v>
      </c>
      <c r="Z72" s="1015"/>
      <c r="AA72" s="1619">
        <f t="shared" si="37"/>
        <v>0</v>
      </c>
      <c r="AB72" s="1014"/>
      <c r="AC72" s="1021"/>
      <c r="AE72" s="46">
        <f>SUM(R72,X72)-P72</f>
        <v>0</v>
      </c>
      <c r="AG72" s="1795">
        <f t="shared" si="58"/>
        <v>0</v>
      </c>
      <c r="AH72" s="1795">
        <f t="shared" si="59"/>
        <v>0</v>
      </c>
      <c r="AI72" s="1795">
        <f t="shared" si="60"/>
        <v>100000</v>
      </c>
      <c r="AJ72" s="1795">
        <f t="shared" si="59"/>
        <v>20000</v>
      </c>
    </row>
    <row r="73" spans="2:36" outlineLevel="1">
      <c r="P73" s="953"/>
      <c r="R73" s="46"/>
      <c r="S73" s="46"/>
      <c r="T73" s="46"/>
      <c r="X73" s="46"/>
      <c r="Z73" s="46"/>
      <c r="AG73" s="591"/>
      <c r="AH73" s="591"/>
      <c r="AI73" s="591"/>
      <c r="AJ73" s="591"/>
    </row>
    <row r="74" spans="2:36" ht="12.75" outlineLevel="1" thickBot="1">
      <c r="P74" s="953"/>
      <c r="R74" s="1704">
        <f>26600000-SUM(R76,R88)</f>
        <v>-37739453.170000002</v>
      </c>
      <c r="S74" s="1704">
        <f>26600000-SUM(S76,S88)</f>
        <v>-27345313.450000003</v>
      </c>
      <c r="T74" s="1704"/>
      <c r="U74" s="1601">
        <f>R74/26600000</f>
        <v>-1.4187764349624061</v>
      </c>
      <c r="V74" s="46"/>
      <c r="W74" s="46"/>
      <c r="X74" s="1656"/>
      <c r="Z74" s="46"/>
      <c r="AG74" s="591"/>
      <c r="AH74" s="591"/>
      <c r="AI74" s="591"/>
      <c r="AJ74" s="591"/>
    </row>
    <row r="75" spans="2:36" customFormat="1" ht="15">
      <c r="B75" s="1030" t="s">
        <v>682</v>
      </c>
      <c r="C75" s="1031"/>
      <c r="D75" s="1031"/>
      <c r="E75" s="1031"/>
      <c r="F75" s="1717">
        <f t="shared" ref="F75:O75" si="89">SUM(F76,F88)</f>
        <v>989961.45</v>
      </c>
      <c r="G75" s="1717">
        <f t="shared" si="89"/>
        <v>10390003.949999999</v>
      </c>
      <c r="H75" s="1717">
        <f t="shared" si="89"/>
        <v>55576061.849689141</v>
      </c>
      <c r="I75" s="1717">
        <f t="shared" si="89"/>
        <v>5461014.3038181504</v>
      </c>
      <c r="J75" s="1717">
        <f t="shared" si="89"/>
        <v>5669686.8231243612</v>
      </c>
      <c r="K75" s="1717">
        <f t="shared" si="89"/>
        <v>5765848.187110614</v>
      </c>
      <c r="L75" s="1717">
        <f t="shared" si="89"/>
        <v>6665330.1491441019</v>
      </c>
      <c r="M75" s="1717">
        <f t="shared" si="89"/>
        <v>6885244.4925728738</v>
      </c>
      <c r="N75" s="1717">
        <f t="shared" si="89"/>
        <v>7109810.0770630874</v>
      </c>
      <c r="O75" s="1717">
        <f t="shared" si="89"/>
        <v>7339254.3784954315</v>
      </c>
      <c r="P75" s="1718">
        <f>SUM(F75:O75)</f>
        <v>111852215.66101775</v>
      </c>
      <c r="Q75" s="46">
        <f>X75-W75-V75</f>
        <v>-3.7252902984619141E-9</v>
      </c>
      <c r="R75" s="1034">
        <f>SUM(R76,R88)</f>
        <v>64339453.170000002</v>
      </c>
      <c r="S75" s="1786">
        <f t="shared" ref="S75" si="90">SUM(S76,S88)</f>
        <v>53945313.450000003</v>
      </c>
      <c r="T75" s="1788">
        <f t="shared" ref="T75" si="91">SUM(T76,T88)</f>
        <v>10394139.720000001</v>
      </c>
      <c r="U75" s="1600">
        <f>R75/P75</f>
        <v>0.5752184057309051</v>
      </c>
      <c r="V75" s="1697">
        <f>SUM(V76,V88)</f>
        <v>2493122.34</v>
      </c>
      <c r="W75" s="1697">
        <f>SUM(W76,W88)</f>
        <v>36984650.759999998</v>
      </c>
      <c r="X75" s="1035">
        <f>SUM(X76,X88)</f>
        <v>39477773.099999994</v>
      </c>
      <c r="Y75" s="1614">
        <f>X75/P75</f>
        <v>0.35294583005527908</v>
      </c>
      <c r="Z75" s="1035">
        <f>IF(SUM(V76,V88)&gt;26600000,(SUM(Z76,Z88)+(SUM(V76,V88)-26600000)),SUM(Z76,Z88))</f>
        <v>8034989.3910177639</v>
      </c>
      <c r="AA75" s="1614">
        <f>Z75/P75</f>
        <v>7.1835764213815961E-2</v>
      </c>
      <c r="AB75" s="1036">
        <f>SUM(AB77:AB107)</f>
        <v>0</v>
      </c>
      <c r="AC75" s="1037">
        <f>SUM(AC77:AC107)</f>
        <v>0</v>
      </c>
      <c r="AD75" s="1038"/>
      <c r="AE75" s="1038">
        <f>SUM(R75,X75)-P75</f>
        <v>-8034989.3910177499</v>
      </c>
      <c r="AG75" s="1790">
        <f t="shared" ref="AG75:AJ75" si="92">SUM(AG76,AG88)</f>
        <v>2137327.1999999997</v>
      </c>
      <c r="AH75" s="1790">
        <f t="shared" si="92"/>
        <v>355795.13999999996</v>
      </c>
      <c r="AI75" s="1790">
        <f t="shared" si="92"/>
        <v>31564343.799999997</v>
      </c>
      <c r="AJ75" s="1790">
        <f t="shared" si="92"/>
        <v>5420306.96</v>
      </c>
    </row>
    <row r="76" spans="2:36">
      <c r="B76" s="998" t="s">
        <v>1370</v>
      </c>
      <c r="C76" s="999"/>
      <c r="D76" s="999"/>
      <c r="E76" s="999"/>
      <c r="F76" s="1730">
        <f t="shared" ref="F76:O76" si="93">SUM(F77,F83,F86)</f>
        <v>0</v>
      </c>
      <c r="G76" s="1730">
        <f t="shared" si="93"/>
        <v>4372704</v>
      </c>
      <c r="H76" s="1730">
        <f t="shared" si="93"/>
        <v>48482756.399999999</v>
      </c>
      <c r="I76" s="1730">
        <f t="shared" si="93"/>
        <v>0</v>
      </c>
      <c r="J76" s="1730">
        <f t="shared" si="93"/>
        <v>0</v>
      </c>
      <c r="K76" s="1730">
        <f t="shared" si="93"/>
        <v>0</v>
      </c>
      <c r="L76" s="1730">
        <f t="shared" si="93"/>
        <v>0</v>
      </c>
      <c r="M76" s="1730">
        <f t="shared" si="93"/>
        <v>0</v>
      </c>
      <c r="N76" s="1730">
        <f t="shared" si="93"/>
        <v>0</v>
      </c>
      <c r="O76" s="1730">
        <f t="shared" si="93"/>
        <v>0</v>
      </c>
      <c r="P76" s="1731">
        <f t="shared" ref="P76:P107" si="94">SUM(F76:O76)</f>
        <v>52855460.399999999</v>
      </c>
      <c r="Q76" s="46">
        <f t="shared" ref="Q76:Q107" si="95">X76-W76-V76</f>
        <v>0</v>
      </c>
      <c r="R76" s="1027">
        <f>SUM(R77:R87)</f>
        <v>52855460.399999999</v>
      </c>
      <c r="S76" s="1787">
        <f t="shared" ref="S76" si="96">SUM(S77:S87)</f>
        <v>44046217</v>
      </c>
      <c r="T76" s="1789">
        <f t="shared" ref="T76" si="97">SUM(T77:T87)</f>
        <v>8809243.4000000004</v>
      </c>
      <c r="U76" s="1604">
        <f>R76/P76</f>
        <v>1</v>
      </c>
      <c r="V76" s="1698">
        <f t="shared" ref="V76:W76" si="98">SUM(V77:V87)</f>
        <v>0</v>
      </c>
      <c r="W76" s="1698">
        <f t="shared" si="98"/>
        <v>0</v>
      </c>
      <c r="X76" s="1005">
        <f>SUM(X77:X87)</f>
        <v>0</v>
      </c>
      <c r="Y76" s="1615">
        <f>X76/P76</f>
        <v>0</v>
      </c>
      <c r="Z76" s="1005">
        <f>SUM(Z77:Z87)</f>
        <v>0</v>
      </c>
      <c r="AA76" s="1615">
        <f t="shared" ref="AA76:AA107" si="99">Z76/P76</f>
        <v>0</v>
      </c>
      <c r="AB76" s="1022"/>
      <c r="AC76" s="1023"/>
      <c r="AD76" s="46"/>
      <c r="AE76" s="46">
        <f>SUM(R76,X76)-P76</f>
        <v>0</v>
      </c>
      <c r="AG76" s="1791">
        <f t="shared" ref="AG76:AJ76" si="100">SUM(AG77:AG87)</f>
        <v>0</v>
      </c>
      <c r="AH76" s="1791">
        <f t="shared" si="100"/>
        <v>0</v>
      </c>
      <c r="AI76" s="1791">
        <f t="shared" si="100"/>
        <v>0</v>
      </c>
      <c r="AJ76" s="1791">
        <f t="shared" si="100"/>
        <v>0</v>
      </c>
    </row>
    <row r="77" spans="2:36" customFormat="1" ht="15" outlineLevel="1">
      <c r="B77" s="1002"/>
      <c r="C77" s="1003" t="s">
        <v>1426</v>
      </c>
      <c r="D77" s="1003"/>
      <c r="E77" s="1004"/>
      <c r="F77" s="1713">
        <f t="shared" ref="F77:O77" si="101">SUM(F78:F82)</f>
        <v>0</v>
      </c>
      <c r="G77" s="1713">
        <f t="shared" si="101"/>
        <v>4372704</v>
      </c>
      <c r="H77" s="1713">
        <f t="shared" si="101"/>
        <v>5332320</v>
      </c>
      <c r="I77" s="1713">
        <f t="shared" si="101"/>
        <v>0</v>
      </c>
      <c r="J77" s="1713">
        <f t="shared" si="101"/>
        <v>0</v>
      </c>
      <c r="K77" s="1713">
        <f t="shared" si="101"/>
        <v>0</v>
      </c>
      <c r="L77" s="1713">
        <f t="shared" si="101"/>
        <v>0</v>
      </c>
      <c r="M77" s="1713">
        <f t="shared" si="101"/>
        <v>0</v>
      </c>
      <c r="N77" s="1713">
        <f t="shared" si="101"/>
        <v>0</v>
      </c>
      <c r="O77" s="1713">
        <f t="shared" si="101"/>
        <v>0</v>
      </c>
      <c r="P77" s="1714">
        <f t="shared" si="94"/>
        <v>9705024</v>
      </c>
      <c r="Q77" s="46">
        <f t="shared" si="95"/>
        <v>0</v>
      </c>
      <c r="R77" s="1016"/>
      <c r="S77" s="1775"/>
      <c r="T77" s="1775"/>
      <c r="U77" s="1605"/>
      <c r="V77" s="1605"/>
      <c r="W77" s="1605"/>
      <c r="X77" s="1009"/>
      <c r="Y77" s="1616"/>
      <c r="Z77" s="1009"/>
      <c r="AA77" s="1616">
        <f t="shared" si="99"/>
        <v>0</v>
      </c>
      <c r="AB77" s="1017"/>
      <c r="AC77" s="1018"/>
      <c r="AE77" s="46"/>
      <c r="AG77" s="1792"/>
      <c r="AH77" s="1792"/>
      <c r="AI77" s="1792"/>
      <c r="AJ77" s="1792"/>
    </row>
    <row r="78" spans="2:36" hidden="1" outlineLevel="1">
      <c r="B78" s="1007" t="s">
        <v>7</v>
      </c>
      <c r="C78" s="1008" t="s">
        <v>205</v>
      </c>
      <c r="D78" s="1008" t="s">
        <v>198</v>
      </c>
      <c r="E78" s="1008" t="s">
        <v>0</v>
      </c>
      <c r="F78" s="1716"/>
      <c r="G78" s="1715">
        <f>'N_02 Vstupy'!$F$182*1.2</f>
        <v>0</v>
      </c>
      <c r="H78" s="1716"/>
      <c r="I78" s="1716"/>
      <c r="J78" s="1716"/>
      <c r="K78" s="1716"/>
      <c r="L78" s="1716"/>
      <c r="M78" s="1716"/>
      <c r="N78" s="1716"/>
      <c r="O78" s="1716"/>
      <c r="P78" s="1732">
        <f>SUM(F78:O78)</f>
        <v>0</v>
      </c>
      <c r="Q78" s="46">
        <f t="shared" si="95"/>
        <v>0</v>
      </c>
      <c r="R78" s="1016">
        <f>SUM(F78:H78)</f>
        <v>0</v>
      </c>
      <c r="S78" s="1775"/>
      <c r="T78" s="1775"/>
      <c r="U78" s="1605" t="e">
        <f>R78/P78</f>
        <v>#DIV/0!</v>
      </c>
      <c r="V78" s="1605"/>
      <c r="W78" s="1605"/>
      <c r="X78" s="1009">
        <f>SUM(I78:O78)-AB78-AC78</f>
        <v>0</v>
      </c>
      <c r="Y78" s="1616" t="e">
        <f>X78/P78</f>
        <v>#DIV/0!</v>
      </c>
      <c r="Z78" s="1009"/>
      <c r="AA78" s="1616" t="e">
        <f t="shared" si="99"/>
        <v>#DIV/0!</v>
      </c>
      <c r="AB78" s="1008"/>
      <c r="AC78" s="1019"/>
      <c r="AE78" s="46">
        <f>SUM(R78,X78)-P78</f>
        <v>0</v>
      </c>
      <c r="AG78" s="1792"/>
      <c r="AH78" s="1792"/>
      <c r="AI78" s="1792"/>
      <c r="AJ78" s="1792"/>
    </row>
    <row r="79" spans="2:36" outlineLevel="1">
      <c r="B79" s="1007" t="s">
        <v>7</v>
      </c>
      <c r="C79" s="1008" t="s">
        <v>205</v>
      </c>
      <c r="D79" s="1008" t="s">
        <v>1833</v>
      </c>
      <c r="E79" s="1008" t="s">
        <v>0</v>
      </c>
      <c r="F79" s="1716"/>
      <c r="G79" s="1716">
        <f>'N_02 Vstupy'!$H$179/2*1.2</f>
        <v>770400</v>
      </c>
      <c r="H79" s="1716">
        <f>'N_02 Vstupy'!$H$179/2*1.2</f>
        <v>770400</v>
      </c>
      <c r="I79" s="1716"/>
      <c r="J79" s="1716"/>
      <c r="K79" s="1716"/>
      <c r="L79" s="1716"/>
      <c r="M79" s="1716"/>
      <c r="N79" s="1716"/>
      <c r="O79" s="1716"/>
      <c r="P79" s="1732">
        <f>SUM(F79:O79)</f>
        <v>1540800</v>
      </c>
      <c r="Q79" s="46">
        <f t="shared" si="95"/>
        <v>0</v>
      </c>
      <c r="R79" s="1016">
        <f>SUM(F79:H79)</f>
        <v>1540800</v>
      </c>
      <c r="S79" s="1775">
        <f t="shared" ref="S79:S87" si="102">R79/1.2</f>
        <v>1284000</v>
      </c>
      <c r="T79" s="1775">
        <f t="shared" ref="T79:T87" si="103">S79*0.2</f>
        <v>256800</v>
      </c>
      <c r="U79" s="1605">
        <f>R79/P79</f>
        <v>1</v>
      </c>
      <c r="V79" s="1605"/>
      <c r="W79" s="1605"/>
      <c r="X79" s="1009">
        <f>SUM(I79:O79)-AB79-AC79</f>
        <v>0</v>
      </c>
      <c r="Y79" s="1616">
        <f>X79/P79</f>
        <v>0</v>
      </c>
      <c r="Z79" s="1009"/>
      <c r="AA79" s="1616">
        <f t="shared" si="99"/>
        <v>0</v>
      </c>
      <c r="AB79" s="1008"/>
      <c r="AC79" s="1019"/>
      <c r="AE79" s="46"/>
      <c r="AG79" s="1792"/>
      <c r="AH79" s="1792"/>
      <c r="AI79" s="1792"/>
      <c r="AJ79" s="1792"/>
    </row>
    <row r="80" spans="2:36" outlineLevel="1">
      <c r="B80" s="1007" t="s">
        <v>7</v>
      </c>
      <c r="C80" s="1008" t="s">
        <v>205</v>
      </c>
      <c r="D80" s="1008" t="s">
        <v>1615</v>
      </c>
      <c r="E80" s="1008" t="s">
        <v>0</v>
      </c>
      <c r="F80" s="1716"/>
      <c r="G80" s="1716">
        <f>('N_02 Vstupy'!$F$184*1.2)/2</f>
        <v>3602304</v>
      </c>
      <c r="H80" s="1716">
        <f>('N_02 Vstupy'!$F$184*1.2)/2</f>
        <v>3602304</v>
      </c>
      <c r="I80" s="1716"/>
      <c r="J80" s="1716"/>
      <c r="K80" s="1716"/>
      <c r="L80" s="1716"/>
      <c r="M80" s="1716"/>
      <c r="N80" s="1716"/>
      <c r="O80" s="1716"/>
      <c r="P80" s="1732">
        <f>SUM(F80:O80)</f>
        <v>7204608</v>
      </c>
      <c r="Q80" s="46">
        <f t="shared" si="95"/>
        <v>0</v>
      </c>
      <c r="R80" s="1016">
        <f>SUM(F80:H80)</f>
        <v>7204608</v>
      </c>
      <c r="S80" s="1775">
        <f t="shared" si="102"/>
        <v>6003840</v>
      </c>
      <c r="T80" s="1775">
        <f t="shared" si="103"/>
        <v>1200768</v>
      </c>
      <c r="U80" s="1605">
        <f>R80/P80</f>
        <v>1</v>
      </c>
      <c r="V80" s="1605"/>
      <c r="W80" s="1605"/>
      <c r="X80" s="1009">
        <f>SUM(I80:O80)-AB80-AC80</f>
        <v>0</v>
      </c>
      <c r="Y80" s="1616">
        <f>X80/P80</f>
        <v>0</v>
      </c>
      <c r="Z80" s="1009"/>
      <c r="AA80" s="1616">
        <f t="shared" si="99"/>
        <v>0</v>
      </c>
      <c r="AB80" s="1008"/>
      <c r="AC80" s="1019"/>
      <c r="AE80" s="46">
        <f>SUM(R80,X80)-P80</f>
        <v>0</v>
      </c>
      <c r="AG80" s="1792"/>
      <c r="AH80" s="1792"/>
      <c r="AI80" s="1792"/>
      <c r="AJ80" s="1792"/>
    </row>
    <row r="81" spans="2:36" outlineLevel="1">
      <c r="B81" s="1007" t="s">
        <v>7</v>
      </c>
      <c r="C81" s="1008" t="s">
        <v>1572</v>
      </c>
      <c r="D81" s="1008" t="s">
        <v>1616</v>
      </c>
      <c r="E81" s="1008" t="s">
        <v>0</v>
      </c>
      <c r="F81" s="1716"/>
      <c r="G81" s="1716"/>
      <c r="H81" s="1716">
        <f>'N_02 Vstupy'!$F$190*1.2</f>
        <v>300096</v>
      </c>
      <c r="I81" s="1716"/>
      <c r="J81" s="1716"/>
      <c r="K81" s="1716"/>
      <c r="L81" s="1716"/>
      <c r="M81" s="1716"/>
      <c r="N81" s="1716"/>
      <c r="O81" s="1716"/>
      <c r="P81" s="1732">
        <f t="shared" si="94"/>
        <v>300096</v>
      </c>
      <c r="Q81" s="46">
        <f t="shared" si="95"/>
        <v>0</v>
      </c>
      <c r="R81" s="1016">
        <f>SUM(F81:H81)</f>
        <v>300096</v>
      </c>
      <c r="S81" s="1775">
        <f t="shared" si="102"/>
        <v>250080</v>
      </c>
      <c r="T81" s="1775">
        <f t="shared" si="103"/>
        <v>50016</v>
      </c>
      <c r="U81" s="1605">
        <f>R81/P81</f>
        <v>1</v>
      </c>
      <c r="V81" s="1605"/>
      <c r="W81" s="1605"/>
      <c r="X81" s="1009">
        <f>SUM(I81:O81)-AB81-AC81</f>
        <v>0</v>
      </c>
      <c r="Y81" s="1616">
        <f>X81/P81</f>
        <v>0</v>
      </c>
      <c r="Z81" s="1009"/>
      <c r="AA81" s="1616">
        <f t="shared" si="99"/>
        <v>0</v>
      </c>
      <c r="AB81" s="1008"/>
      <c r="AC81" s="1019"/>
      <c r="AE81" s="46">
        <f>SUM(R81,X81)-P81</f>
        <v>0</v>
      </c>
      <c r="AG81" s="1792"/>
      <c r="AH81" s="1792"/>
      <c r="AI81" s="1792"/>
      <c r="AJ81" s="1792"/>
    </row>
    <row r="82" spans="2:36" outlineLevel="1">
      <c r="B82" s="1007" t="s">
        <v>7</v>
      </c>
      <c r="C82" s="1008" t="s">
        <v>1573</v>
      </c>
      <c r="D82" s="1008" t="s">
        <v>1614</v>
      </c>
      <c r="E82" s="1008" t="s">
        <v>0</v>
      </c>
      <c r="F82" s="1716"/>
      <c r="G82" s="1716"/>
      <c r="H82" s="1716">
        <f>'N_02 Vstupy'!$F$192*1.2</f>
        <v>659520</v>
      </c>
      <c r="I82" s="1716"/>
      <c r="J82" s="1716"/>
      <c r="K82" s="1716"/>
      <c r="L82" s="1716"/>
      <c r="M82" s="1716"/>
      <c r="N82" s="1716"/>
      <c r="O82" s="1716"/>
      <c r="P82" s="1732">
        <f t="shared" si="94"/>
        <v>659520</v>
      </c>
      <c r="Q82" s="46">
        <f t="shared" si="95"/>
        <v>0</v>
      </c>
      <c r="R82" s="1016">
        <f>SUM(F82:H82)</f>
        <v>659520</v>
      </c>
      <c r="S82" s="1775">
        <f t="shared" si="102"/>
        <v>549600</v>
      </c>
      <c r="T82" s="1775">
        <f t="shared" si="103"/>
        <v>109920</v>
      </c>
      <c r="U82" s="1605">
        <f>R82/P82</f>
        <v>1</v>
      </c>
      <c r="V82" s="1605"/>
      <c r="W82" s="1605"/>
      <c r="X82" s="1009">
        <f>SUM(I82:O82)-AB82-AC82</f>
        <v>0</v>
      </c>
      <c r="Y82" s="1616">
        <f>X82/P82</f>
        <v>0</v>
      </c>
      <c r="Z82" s="1009"/>
      <c r="AA82" s="1616">
        <f t="shared" si="99"/>
        <v>0</v>
      </c>
      <c r="AB82" s="1008"/>
      <c r="AC82" s="1019"/>
      <c r="AE82" s="46">
        <f>SUM(R82,X82)-P82</f>
        <v>0</v>
      </c>
      <c r="AG82" s="1792"/>
      <c r="AH82" s="1792"/>
      <c r="AI82" s="1792"/>
      <c r="AJ82" s="1792"/>
    </row>
    <row r="83" spans="2:36" outlineLevel="1" collapsed="1">
      <c r="B83" s="1002"/>
      <c r="C83" s="1003" t="s">
        <v>1427</v>
      </c>
      <c r="D83" s="1004"/>
      <c r="E83" s="1004"/>
      <c r="F83" s="1713">
        <f t="shared" ref="F83:O83" si="104">SUM(F84:F85)</f>
        <v>0</v>
      </c>
      <c r="G83" s="1713">
        <f t="shared" si="104"/>
        <v>0</v>
      </c>
      <c r="H83" s="1713">
        <f>SUM(H84:H85)</f>
        <v>4347302.4000000004</v>
      </c>
      <c r="I83" s="1713">
        <f t="shared" si="104"/>
        <v>0</v>
      </c>
      <c r="J83" s="1713">
        <f t="shared" si="104"/>
        <v>0</v>
      </c>
      <c r="K83" s="1713">
        <f t="shared" si="104"/>
        <v>0</v>
      </c>
      <c r="L83" s="1713">
        <f t="shared" si="104"/>
        <v>0</v>
      </c>
      <c r="M83" s="1713">
        <f t="shared" si="104"/>
        <v>0</v>
      </c>
      <c r="N83" s="1713">
        <f t="shared" si="104"/>
        <v>0</v>
      </c>
      <c r="O83" s="1713">
        <f t="shared" si="104"/>
        <v>0</v>
      </c>
      <c r="P83" s="1714">
        <f t="shared" si="94"/>
        <v>4347302.4000000004</v>
      </c>
      <c r="Q83" s="46">
        <f t="shared" si="95"/>
        <v>0</v>
      </c>
      <c r="R83" s="1007"/>
      <c r="S83" s="1776">
        <f t="shared" si="102"/>
        <v>0</v>
      </c>
      <c r="T83" s="1776">
        <f t="shared" si="103"/>
        <v>0</v>
      </c>
      <c r="U83" s="1605"/>
      <c r="V83" s="1605"/>
      <c r="W83" s="1605"/>
      <c r="X83" s="1009"/>
      <c r="Y83" s="1616"/>
      <c r="Z83" s="1009"/>
      <c r="AA83" s="1616">
        <f t="shared" si="99"/>
        <v>0</v>
      </c>
      <c r="AB83" s="1008"/>
      <c r="AC83" s="1019"/>
      <c r="AE83" s="46"/>
      <c r="AG83" s="1792"/>
      <c r="AH83" s="1792"/>
      <c r="AI83" s="1792"/>
      <c r="AJ83" s="1792"/>
    </row>
    <row r="84" spans="2:36" outlineLevel="1">
      <c r="B84" s="1007" t="s">
        <v>7</v>
      </c>
      <c r="C84" s="1008" t="s">
        <v>206</v>
      </c>
      <c r="D84" s="1008" t="s">
        <v>1621</v>
      </c>
      <c r="E84" s="1008" t="s">
        <v>0</v>
      </c>
      <c r="F84" s="1716"/>
      <c r="G84" s="1716"/>
      <c r="H84" s="1715">
        <f>'N_02 Vstupy'!$F$193*1.2*1.8</f>
        <v>4347302.4000000004</v>
      </c>
      <c r="I84" s="1716"/>
      <c r="J84" s="1716"/>
      <c r="K84" s="1716"/>
      <c r="L84" s="1716"/>
      <c r="M84" s="1716"/>
      <c r="N84" s="1716"/>
      <c r="O84" s="1716"/>
      <c r="P84" s="1732">
        <f>SUM(F84:O84)</f>
        <v>4347302.4000000004</v>
      </c>
      <c r="Q84" s="46">
        <f t="shared" si="95"/>
        <v>0</v>
      </c>
      <c r="R84" s="1016">
        <f>SUM(F84:H84)</f>
        <v>4347302.4000000004</v>
      </c>
      <c r="S84" s="1775">
        <f t="shared" si="102"/>
        <v>3622752.0000000005</v>
      </c>
      <c r="T84" s="1775">
        <f t="shared" si="103"/>
        <v>724550.40000000014</v>
      </c>
      <c r="U84" s="1605">
        <f>R84/P84</f>
        <v>1</v>
      </c>
      <c r="V84" s="1605"/>
      <c r="W84" s="1605"/>
      <c r="X84" s="1009">
        <f>SUM(I84:O84)-AB84-AC84</f>
        <v>0</v>
      </c>
      <c r="Y84" s="1616">
        <f>X84/P84</f>
        <v>0</v>
      </c>
      <c r="Z84" s="1009"/>
      <c r="AA84" s="1616">
        <f t="shared" si="99"/>
        <v>0</v>
      </c>
      <c r="AB84" s="1008"/>
      <c r="AC84" s="1019"/>
      <c r="AE84" s="46">
        <f>SUM(R84,X84)-P84</f>
        <v>0</v>
      </c>
      <c r="AG84" s="1792"/>
      <c r="AH84" s="1792"/>
      <c r="AI84" s="1792"/>
      <c r="AJ84" s="1792"/>
    </row>
    <row r="85" spans="2:36" outlineLevel="1">
      <c r="B85" s="1007" t="s">
        <v>7</v>
      </c>
      <c r="C85" s="1008" t="s">
        <v>1560</v>
      </c>
      <c r="D85" s="1008" t="s">
        <v>1630</v>
      </c>
      <c r="E85" s="1011" t="s">
        <v>1631</v>
      </c>
      <c r="F85" s="1716"/>
      <c r="G85" s="1716"/>
      <c r="H85" s="1716"/>
      <c r="I85" s="1716"/>
      <c r="J85" s="1716"/>
      <c r="K85" s="1716"/>
      <c r="L85" s="1716"/>
      <c r="M85" s="1716"/>
      <c r="N85" s="1716"/>
      <c r="O85" s="1716"/>
      <c r="P85" s="1732">
        <f>SUM(F85:O85)</f>
        <v>0</v>
      </c>
      <c r="Q85" s="46">
        <f t="shared" si="95"/>
        <v>0</v>
      </c>
      <c r="R85" s="1222">
        <f>SUM(F85:H85)</f>
        <v>0</v>
      </c>
      <c r="S85" s="1777">
        <f t="shared" si="102"/>
        <v>0</v>
      </c>
      <c r="T85" s="1777">
        <f t="shared" si="103"/>
        <v>0</v>
      </c>
      <c r="U85" s="1606" t="e">
        <f>R85/P85</f>
        <v>#DIV/0!</v>
      </c>
      <c r="V85" s="1606"/>
      <c r="W85" s="1606"/>
      <c r="X85" s="1012">
        <f>SUM(I85:O85)-AB85-AC85</f>
        <v>0</v>
      </c>
      <c r="Y85" s="1617" t="e">
        <f>X85/P85</f>
        <v>#DIV/0!</v>
      </c>
      <c r="Z85" s="1012"/>
      <c r="AA85" s="1617" t="e">
        <f t="shared" si="99"/>
        <v>#DIV/0!</v>
      </c>
      <c r="AB85" s="1008"/>
      <c r="AC85" s="1019"/>
      <c r="AE85" s="46">
        <f>SUM(R85,X85)-P85</f>
        <v>0</v>
      </c>
      <c r="AG85" s="1793"/>
      <c r="AH85" s="1793"/>
      <c r="AI85" s="1793"/>
      <c r="AJ85" s="1793"/>
    </row>
    <row r="86" spans="2:36" outlineLevel="1">
      <c r="B86" s="1002"/>
      <c r="C86" s="1003" t="s">
        <v>1428</v>
      </c>
      <c r="D86" s="1004"/>
      <c r="E86" s="1004"/>
      <c r="F86" s="1713">
        <f t="shared" ref="F86:O86" si="105">SUM(F87:F87)</f>
        <v>0</v>
      </c>
      <c r="G86" s="1713">
        <f t="shared" si="105"/>
        <v>0</v>
      </c>
      <c r="H86" s="1713">
        <f t="shared" si="105"/>
        <v>38803134</v>
      </c>
      <c r="I86" s="1713">
        <f t="shared" si="105"/>
        <v>0</v>
      </c>
      <c r="J86" s="1713">
        <f t="shared" si="105"/>
        <v>0</v>
      </c>
      <c r="K86" s="1713">
        <f t="shared" si="105"/>
        <v>0</v>
      </c>
      <c r="L86" s="1713">
        <f t="shared" si="105"/>
        <v>0</v>
      </c>
      <c r="M86" s="1713">
        <f t="shared" si="105"/>
        <v>0</v>
      </c>
      <c r="N86" s="1713">
        <f t="shared" si="105"/>
        <v>0</v>
      </c>
      <c r="O86" s="1713">
        <f t="shared" si="105"/>
        <v>0</v>
      </c>
      <c r="P86" s="1714">
        <f t="shared" si="94"/>
        <v>38803134</v>
      </c>
      <c r="Q86" s="46">
        <f t="shared" si="95"/>
        <v>0</v>
      </c>
      <c r="R86" s="1007"/>
      <c r="S86" s="1776">
        <f t="shared" si="102"/>
        <v>0</v>
      </c>
      <c r="T86" s="1776">
        <f t="shared" si="103"/>
        <v>0</v>
      </c>
      <c r="U86" s="1605"/>
      <c r="V86" s="1605"/>
      <c r="W86" s="1605"/>
      <c r="X86" s="1009"/>
      <c r="Y86" s="1616"/>
      <c r="Z86" s="1009"/>
      <c r="AA86" s="1616">
        <f t="shared" si="99"/>
        <v>0</v>
      </c>
      <c r="AB86" s="1008"/>
      <c r="AC86" s="1019"/>
      <c r="AE86" s="46"/>
      <c r="AG86" s="1792"/>
      <c r="AH86" s="1792"/>
      <c r="AI86" s="1792"/>
      <c r="AJ86" s="1792"/>
    </row>
    <row r="87" spans="2:36" outlineLevel="1">
      <c r="B87" s="1007" t="s">
        <v>7</v>
      </c>
      <c r="C87" s="1008" t="s">
        <v>208</v>
      </c>
      <c r="D87" s="1008" t="s">
        <v>1603</v>
      </c>
      <c r="E87" s="1008" t="s">
        <v>0</v>
      </c>
      <c r="F87" s="1716"/>
      <c r="G87" s="1716"/>
      <c r="H87" s="1716">
        <f>'N_02 Vstupy'!L134*1.2</f>
        <v>38803134</v>
      </c>
      <c r="I87" s="1716"/>
      <c r="J87" s="1716"/>
      <c r="K87" s="1716"/>
      <c r="L87" s="1716"/>
      <c r="M87" s="1716"/>
      <c r="N87" s="1716"/>
      <c r="O87" s="1716"/>
      <c r="P87" s="1732">
        <f t="shared" si="94"/>
        <v>38803134</v>
      </c>
      <c r="Q87" s="46">
        <f t="shared" si="95"/>
        <v>0</v>
      </c>
      <c r="R87" s="1016">
        <f>SUM(F87:H87)</f>
        <v>38803134</v>
      </c>
      <c r="S87" s="1775">
        <f t="shared" si="102"/>
        <v>32335945</v>
      </c>
      <c r="T87" s="1775">
        <f t="shared" si="103"/>
        <v>6467189</v>
      </c>
      <c r="U87" s="1605">
        <f>R87/P87</f>
        <v>1</v>
      </c>
      <c r="V87" s="1605"/>
      <c r="W87" s="1605"/>
      <c r="X87" s="1009">
        <f>SUM(I87:O87)-AB87-AC87</f>
        <v>0</v>
      </c>
      <c r="Y87" s="1616">
        <f>X87/P87</f>
        <v>0</v>
      </c>
      <c r="Z87" s="1009"/>
      <c r="AA87" s="1616">
        <f t="shared" si="99"/>
        <v>0</v>
      </c>
      <c r="AB87" s="1008"/>
      <c r="AC87" s="1019"/>
      <c r="AE87" s="46">
        <f>SUM(R87,X87)-P87</f>
        <v>0</v>
      </c>
      <c r="AG87" s="1792"/>
      <c r="AH87" s="1792"/>
      <c r="AI87" s="1792"/>
      <c r="AJ87" s="1792"/>
    </row>
    <row r="88" spans="2:36" outlineLevel="1">
      <c r="B88" s="998" t="s">
        <v>1371</v>
      </c>
      <c r="C88" s="999"/>
      <c r="D88" s="999"/>
      <c r="E88" s="1000"/>
      <c r="F88" s="1730">
        <f t="shared" ref="F88:O88" si="106">F89+F99+F104+F106</f>
        <v>989961.45</v>
      </c>
      <c r="G88" s="1730">
        <f t="shared" si="106"/>
        <v>6017299.9500000002</v>
      </c>
      <c r="H88" s="1730">
        <f t="shared" si="106"/>
        <v>7093305.4496891415</v>
      </c>
      <c r="I88" s="1730">
        <f t="shared" si="106"/>
        <v>5461014.3038181504</v>
      </c>
      <c r="J88" s="1730">
        <f t="shared" si="106"/>
        <v>5669686.8231243612</v>
      </c>
      <c r="K88" s="1730">
        <f t="shared" si="106"/>
        <v>5765848.187110614</v>
      </c>
      <c r="L88" s="1730">
        <f t="shared" si="106"/>
        <v>6665330.1491441019</v>
      </c>
      <c r="M88" s="1730">
        <f t="shared" si="106"/>
        <v>6885244.4925728738</v>
      </c>
      <c r="N88" s="1730">
        <f t="shared" si="106"/>
        <v>7109810.0770630874</v>
      </c>
      <c r="O88" s="1730">
        <f t="shared" si="106"/>
        <v>7339254.3784954315</v>
      </c>
      <c r="P88" s="1731">
        <f t="shared" si="94"/>
        <v>58996755.261017762</v>
      </c>
      <c r="Q88" s="46">
        <f>X88-W88-V88</f>
        <v>-3.7252902984619141E-9</v>
      </c>
      <c r="R88" s="1028">
        <f>SUM(R89:R107)</f>
        <v>11483992.77</v>
      </c>
      <c r="S88" s="1028">
        <f t="shared" ref="S88:T88" si="107">SUM(S89:S107)</f>
        <v>9899096.4499999993</v>
      </c>
      <c r="T88" s="1028">
        <f t="shared" si="107"/>
        <v>1584896.3199999998</v>
      </c>
      <c r="U88" s="1607">
        <f>R88/P88</f>
        <v>0.19465465039885124</v>
      </c>
      <c r="V88" s="1701">
        <f>SUM(V89:V107)</f>
        <v>2493122.34</v>
      </c>
      <c r="W88" s="1701">
        <f>SUM(W89:W107)</f>
        <v>36984650.759999998</v>
      </c>
      <c r="X88" s="1029">
        <f>SUM(X89:X107)</f>
        <v>39477773.099999994</v>
      </c>
      <c r="Y88" s="1618">
        <f>X88/P88</f>
        <v>0.66915159868266549</v>
      </c>
      <c r="Z88" s="1029">
        <f>SUM(Z89:Z107)</f>
        <v>8034989.3910177639</v>
      </c>
      <c r="AA88" s="1618">
        <f t="shared" si="99"/>
        <v>0.13619375091848315</v>
      </c>
      <c r="AB88" s="1024"/>
      <c r="AC88" s="1025"/>
      <c r="AE88" s="46">
        <f>SUM(R88,X88)-P88</f>
        <v>-8034989.3910177723</v>
      </c>
      <c r="AG88" s="1794">
        <f t="shared" ref="AG88:AJ88" si="108">SUM(AG89:AG107)</f>
        <v>2137327.1999999997</v>
      </c>
      <c r="AH88" s="1794">
        <f t="shared" si="108"/>
        <v>355795.13999999996</v>
      </c>
      <c r="AI88" s="1794">
        <f t="shared" si="108"/>
        <v>31564343.799999997</v>
      </c>
      <c r="AJ88" s="1794">
        <f t="shared" si="108"/>
        <v>5420306.96</v>
      </c>
    </row>
    <row r="89" spans="2:36" outlineLevel="1">
      <c r="B89" s="1002"/>
      <c r="C89" s="1003" t="s">
        <v>1429</v>
      </c>
      <c r="D89" s="1004"/>
      <c r="E89" s="1004"/>
      <c r="F89" s="1713">
        <f>SUM(F90:F98)</f>
        <v>0</v>
      </c>
      <c r="G89" s="1713">
        <f t="shared" ref="G89:O89" si="109">SUM(G90:G98)</f>
        <v>3420000</v>
      </c>
      <c r="H89" s="1713">
        <f t="shared" si="109"/>
        <v>2817220.4996891413</v>
      </c>
      <c r="I89" s="1713">
        <f t="shared" si="109"/>
        <v>4680987.3038181504</v>
      </c>
      <c r="J89" s="1713">
        <f t="shared" si="109"/>
        <v>4889659.8231243612</v>
      </c>
      <c r="K89" s="1713">
        <f t="shared" si="109"/>
        <v>5096497.187110614</v>
      </c>
      <c r="L89" s="1713">
        <f t="shared" si="109"/>
        <v>5995979.1491441019</v>
      </c>
      <c r="M89" s="1713">
        <f t="shared" si="109"/>
        <v>6215893.4925728738</v>
      </c>
      <c r="N89" s="1713">
        <f t="shared" si="109"/>
        <v>6440459.0770630874</v>
      </c>
      <c r="O89" s="1713">
        <f t="shared" si="109"/>
        <v>6669903.3784954315</v>
      </c>
      <c r="P89" s="1714">
        <f t="shared" si="94"/>
        <v>46226599.911017761</v>
      </c>
      <c r="Q89" s="46">
        <f t="shared" si="95"/>
        <v>0</v>
      </c>
      <c r="R89" s="1007"/>
      <c r="S89" s="1776"/>
      <c r="T89" s="1776"/>
      <c r="U89" s="1605"/>
      <c r="V89" s="1605"/>
      <c r="W89" s="1605"/>
      <c r="X89" s="1008"/>
      <c r="Y89" s="1616"/>
      <c r="Z89" s="1008"/>
      <c r="AA89" s="1616">
        <f t="shared" si="99"/>
        <v>0</v>
      </c>
      <c r="AB89" s="1008"/>
      <c r="AC89" s="1019"/>
      <c r="AE89" s="46"/>
      <c r="AG89" s="1792">
        <f>V89/1.2</f>
        <v>0</v>
      </c>
      <c r="AH89" s="1792">
        <f>AG89*0.2</f>
        <v>0</v>
      </c>
      <c r="AI89" s="1792">
        <f>W89/1.2</f>
        <v>0</v>
      </c>
      <c r="AJ89" s="1792">
        <f>AI89*0.2</f>
        <v>0</v>
      </c>
    </row>
    <row r="90" spans="2:36" outlineLevel="1">
      <c r="B90" s="1007" t="s">
        <v>5</v>
      </c>
      <c r="C90" s="1008" t="s">
        <v>205</v>
      </c>
      <c r="D90" s="1008" t="s">
        <v>1722</v>
      </c>
      <c r="E90" s="1008" t="s">
        <v>0</v>
      </c>
      <c r="F90" s="1716"/>
      <c r="G90" s="1715">
        <f>'N_02 Vstupy'!$F$178*1.2</f>
        <v>3420000</v>
      </c>
      <c r="H90" s="1716"/>
      <c r="I90" s="1716"/>
      <c r="J90" s="1716"/>
      <c r="K90" s="1716"/>
      <c r="L90" s="1715">
        <f>'N_02 Vstupy'!$H$181*1.2</f>
        <v>684000</v>
      </c>
      <c r="M90" s="1715">
        <f>'N_02 Vstupy'!$H$181*1.2</f>
        <v>684000</v>
      </c>
      <c r="N90" s="1715">
        <f>'N_02 Vstupy'!$H$181*1.2</f>
        <v>684000</v>
      </c>
      <c r="O90" s="1715">
        <f>'N_02 Vstupy'!$H$181*1.2</f>
        <v>684000</v>
      </c>
      <c r="P90" s="1732">
        <f>SUM(F90:O90)</f>
        <v>6156000</v>
      </c>
      <c r="Q90" s="46">
        <f t="shared" si="95"/>
        <v>0</v>
      </c>
      <c r="R90" s="1016">
        <f>SUM(F90:H90)</f>
        <v>3420000</v>
      </c>
      <c r="S90" s="1775">
        <f t="shared" ref="S90" si="110">R90/1.2</f>
        <v>2850000</v>
      </c>
      <c r="T90" s="1775">
        <f t="shared" ref="T90" si="111">S90*0.2</f>
        <v>570000</v>
      </c>
      <c r="U90" s="1605">
        <f t="shared" ref="U90:U98" si="112">R90/P90</f>
        <v>0.55555555555555558</v>
      </c>
      <c r="V90" s="1605"/>
      <c r="W90" s="1699">
        <f>SUM(I90:O90)</f>
        <v>2736000</v>
      </c>
      <c r="X90" s="1009">
        <f>SUM(I90:O90)-AB90-AC90</f>
        <v>2736000</v>
      </c>
      <c r="Y90" s="1616">
        <f t="shared" ref="Y90:Y98" si="113">X90/P90</f>
        <v>0.44444444444444442</v>
      </c>
      <c r="Z90" s="1009"/>
      <c r="AA90" s="1616">
        <f t="shared" si="99"/>
        <v>0</v>
      </c>
      <c r="AB90" s="1008"/>
      <c r="AC90" s="1019"/>
      <c r="AE90" s="46">
        <f t="shared" ref="AE90:AE98" si="114">SUM(R90,X90)-P90</f>
        <v>0</v>
      </c>
      <c r="AG90" s="1792">
        <f t="shared" ref="AG90:AG107" si="115">V90/1.2</f>
        <v>0</v>
      </c>
      <c r="AH90" s="1792">
        <f t="shared" ref="AH90:AH107" si="116">AG90*0.2</f>
        <v>0</v>
      </c>
      <c r="AI90" s="1792">
        <f t="shared" ref="AI90:AI107" si="117">W90/1.2</f>
        <v>2280000</v>
      </c>
      <c r="AJ90" s="1792">
        <f t="shared" ref="AJ90:AJ107" si="118">AI90*0.2</f>
        <v>456000</v>
      </c>
    </row>
    <row r="91" spans="2:36" hidden="1" outlineLevel="1">
      <c r="B91" s="1007" t="s">
        <v>5</v>
      </c>
      <c r="C91" s="1008" t="s">
        <v>205</v>
      </c>
      <c r="D91" s="1008" t="s">
        <v>1425</v>
      </c>
      <c r="E91" s="1008" t="s">
        <v>0</v>
      </c>
      <c r="F91" s="1716"/>
      <c r="G91" s="1716"/>
      <c r="H91" s="1715">
        <f>'N_02 Vstupy'!$F$183*1.2</f>
        <v>0</v>
      </c>
      <c r="I91" s="1715">
        <f>'N_02 Vstupy'!$F$183*1.2</f>
        <v>0</v>
      </c>
      <c r="J91" s="1715">
        <f>'N_02 Vstupy'!$F$183*1.2</f>
        <v>0</v>
      </c>
      <c r="K91" s="1715">
        <f>'N_02 Vstupy'!$F$183*1.2</f>
        <v>0</v>
      </c>
      <c r="L91" s="1715">
        <f>'N_02 Vstupy'!$F$183*1.2</f>
        <v>0</v>
      </c>
      <c r="M91" s="1715">
        <f>'N_02 Vstupy'!$F$183*1.2</f>
        <v>0</v>
      </c>
      <c r="N91" s="1715">
        <f>'N_02 Vstupy'!$F$183*1.2</f>
        <v>0</v>
      </c>
      <c r="O91" s="1715">
        <f>'N_02 Vstupy'!$F$183*1.2</f>
        <v>0</v>
      </c>
      <c r="P91" s="1732">
        <f t="shared" si="94"/>
        <v>0</v>
      </c>
      <c r="Q91" s="46">
        <f t="shared" si="95"/>
        <v>0</v>
      </c>
      <c r="R91" s="1016">
        <f>SUM(F91:H91)</f>
        <v>0</v>
      </c>
      <c r="S91" s="1775"/>
      <c r="T91" s="1775"/>
      <c r="U91" s="1605" t="e">
        <f t="shared" si="112"/>
        <v>#DIV/0!</v>
      </c>
      <c r="V91" s="1605"/>
      <c r="W91" s="1605"/>
      <c r="X91" s="1009">
        <f>SUM(I91:O91)-AB91-AC91</f>
        <v>0</v>
      </c>
      <c r="Y91" s="1616" t="e">
        <f t="shared" si="113"/>
        <v>#DIV/0!</v>
      </c>
      <c r="Z91" s="1009"/>
      <c r="AA91" s="1616" t="e">
        <f t="shared" si="99"/>
        <v>#DIV/0!</v>
      </c>
      <c r="AB91" s="1008"/>
      <c r="AC91" s="1019"/>
      <c r="AE91" s="46">
        <f t="shared" si="114"/>
        <v>0</v>
      </c>
      <c r="AG91" s="1792">
        <f t="shared" si="115"/>
        <v>0</v>
      </c>
      <c r="AH91" s="1792">
        <f t="shared" si="116"/>
        <v>0</v>
      </c>
      <c r="AI91" s="1792">
        <f t="shared" si="117"/>
        <v>0</v>
      </c>
      <c r="AJ91" s="1792">
        <f t="shared" si="118"/>
        <v>0</v>
      </c>
    </row>
    <row r="92" spans="2:36" hidden="1" outlineLevel="1">
      <c r="B92" s="1007" t="s">
        <v>5</v>
      </c>
      <c r="C92" s="1008" t="s">
        <v>205</v>
      </c>
      <c r="D92" s="1008" t="s">
        <v>259</v>
      </c>
      <c r="E92" s="1008" t="s">
        <v>0</v>
      </c>
      <c r="F92" s="1716"/>
      <c r="G92" s="1716"/>
      <c r="H92" s="1715">
        <f>'N_02 Vstupy'!$F$180*1.2</f>
        <v>0</v>
      </c>
      <c r="I92" s="1715">
        <f>'N_02 Vstupy'!$F$180*1.2</f>
        <v>0</v>
      </c>
      <c r="J92" s="1715">
        <f>'N_02 Vstupy'!$F$180*1.2</f>
        <v>0</v>
      </c>
      <c r="K92" s="1715">
        <f>'N_02 Vstupy'!$F$180*1.2</f>
        <v>0</v>
      </c>
      <c r="L92" s="1715">
        <f>'N_02 Vstupy'!$F$180*1.2</f>
        <v>0</v>
      </c>
      <c r="M92" s="1715">
        <f>'N_02 Vstupy'!$F$180*1.2</f>
        <v>0</v>
      </c>
      <c r="N92" s="1715">
        <f>'N_02 Vstupy'!$F$180*1.2</f>
        <v>0</v>
      </c>
      <c r="O92" s="1715">
        <f>'N_02 Vstupy'!$F$180*1.2</f>
        <v>0</v>
      </c>
      <c r="P92" s="1732">
        <f t="shared" si="94"/>
        <v>0</v>
      </c>
      <c r="Q92" s="46">
        <f t="shared" si="95"/>
        <v>0</v>
      </c>
      <c r="R92" s="1016">
        <f>SUM(F92:H92)</f>
        <v>0</v>
      </c>
      <c r="S92" s="1775"/>
      <c r="T92" s="1775"/>
      <c r="U92" s="1605" t="e">
        <f t="shared" si="112"/>
        <v>#DIV/0!</v>
      </c>
      <c r="V92" s="1605"/>
      <c r="W92" s="1605"/>
      <c r="X92" s="1009">
        <f>SUM(I92:O92)-AB92-AC92</f>
        <v>0</v>
      </c>
      <c r="Y92" s="1616" t="e">
        <f t="shared" si="113"/>
        <v>#DIV/0!</v>
      </c>
      <c r="Z92" s="1009"/>
      <c r="AA92" s="1616" t="e">
        <f t="shared" si="99"/>
        <v>#DIV/0!</v>
      </c>
      <c r="AB92" s="1008"/>
      <c r="AC92" s="1019"/>
      <c r="AE92" s="46">
        <f t="shared" si="114"/>
        <v>0</v>
      </c>
      <c r="AG92" s="1792">
        <f t="shared" si="115"/>
        <v>0</v>
      </c>
      <c r="AH92" s="1792">
        <f t="shared" si="116"/>
        <v>0</v>
      </c>
      <c r="AI92" s="1792">
        <f t="shared" si="117"/>
        <v>0</v>
      </c>
      <c r="AJ92" s="1792">
        <f t="shared" si="118"/>
        <v>0</v>
      </c>
    </row>
    <row r="93" spans="2:36" outlineLevel="1">
      <c r="B93" s="1007" t="s">
        <v>5</v>
      </c>
      <c r="C93" s="1008" t="s">
        <v>205</v>
      </c>
      <c r="D93" s="1008" t="s">
        <v>1566</v>
      </c>
      <c r="E93" s="1008" t="s">
        <v>0</v>
      </c>
      <c r="F93" s="1716"/>
      <c r="G93" s="1716"/>
      <c r="H93" s="1715">
        <f>('N_02 Vstupy'!$G$185*1.2)/2</f>
        <v>900000</v>
      </c>
      <c r="I93" s="1715">
        <f>'N_02 Vstupy'!$G$185*1.2</f>
        <v>1800000</v>
      </c>
      <c r="J93" s="1715">
        <f>'N_02 Vstupy'!$G$185*1.2</f>
        <v>1800000</v>
      </c>
      <c r="K93" s="1715">
        <f>'N_02 Vstupy'!$G$185*1.2</f>
        <v>1800000</v>
      </c>
      <c r="L93" s="1715">
        <f>'N_02 Vstupy'!$G$185*1.2</f>
        <v>1800000</v>
      </c>
      <c r="M93" s="1715">
        <f>'N_02 Vstupy'!$G$185*1.2</f>
        <v>1800000</v>
      </c>
      <c r="N93" s="1715">
        <f>'N_02 Vstupy'!$G$185*1.2</f>
        <v>1800000</v>
      </c>
      <c r="O93" s="1715">
        <f>'N_02 Vstupy'!$G$185*1.2</f>
        <v>1800000</v>
      </c>
      <c r="P93" s="1732">
        <f t="shared" si="94"/>
        <v>13500000</v>
      </c>
      <c r="Q93" s="46">
        <f t="shared" si="95"/>
        <v>0</v>
      </c>
      <c r="R93" s="1016"/>
      <c r="S93" s="1775"/>
      <c r="T93" s="1775"/>
      <c r="U93" s="1605">
        <f t="shared" si="112"/>
        <v>0</v>
      </c>
      <c r="V93" s="1699">
        <f>H93</f>
        <v>900000</v>
      </c>
      <c r="W93" s="1699">
        <f>SUM(I93:O93)</f>
        <v>12600000</v>
      </c>
      <c r="X93" s="1009">
        <f>SUM(H93,I93:O93)</f>
        <v>13500000</v>
      </c>
      <c r="Y93" s="1616">
        <f t="shared" si="113"/>
        <v>1</v>
      </c>
      <c r="Z93" s="1009"/>
      <c r="AA93" s="1616">
        <f t="shared" si="99"/>
        <v>0</v>
      </c>
      <c r="AB93" s="1008"/>
      <c r="AC93" s="1019"/>
      <c r="AE93" s="46">
        <f t="shared" si="114"/>
        <v>0</v>
      </c>
      <c r="AG93" s="1792">
        <f t="shared" si="115"/>
        <v>750000</v>
      </c>
      <c r="AH93" s="1792">
        <f t="shared" si="116"/>
        <v>150000</v>
      </c>
      <c r="AI93" s="1792">
        <f t="shared" si="117"/>
        <v>10500000</v>
      </c>
      <c r="AJ93" s="1792">
        <f t="shared" si="118"/>
        <v>2100000</v>
      </c>
    </row>
    <row r="94" spans="2:36" hidden="1" outlineLevel="1">
      <c r="B94" s="1007" t="s">
        <v>5</v>
      </c>
      <c r="C94" s="1008" t="s">
        <v>205</v>
      </c>
      <c r="D94" s="1008" t="s">
        <v>1660</v>
      </c>
      <c r="E94" s="1008" t="s">
        <v>0</v>
      </c>
      <c r="F94" s="1716"/>
      <c r="G94" s="1716"/>
      <c r="H94" s="1716">
        <f>'N_02 Vstupy'!$G$186*1.2</f>
        <v>0</v>
      </c>
      <c r="I94" s="1716">
        <f>'N_02 Vstupy'!$G$186*1.2</f>
        <v>0</v>
      </c>
      <c r="J94" s="1716">
        <f>'N_02 Vstupy'!$G$186*1.2</f>
        <v>0</v>
      </c>
      <c r="K94" s="1716">
        <f>'N_02 Vstupy'!$G$186*1.2</f>
        <v>0</v>
      </c>
      <c r="L94" s="1716">
        <f>'N_02 Vstupy'!$G$186*1.2</f>
        <v>0</v>
      </c>
      <c r="M94" s="1716">
        <f>'N_02 Vstupy'!$G$186*1.2</f>
        <v>0</v>
      </c>
      <c r="N94" s="1716">
        <f>'N_02 Vstupy'!$G$186*1.2</f>
        <v>0</v>
      </c>
      <c r="O94" s="1716">
        <f>'N_02 Vstupy'!$G$186*1.2</f>
        <v>0</v>
      </c>
      <c r="P94" s="1732">
        <f t="shared" si="94"/>
        <v>0</v>
      </c>
      <c r="Q94" s="46">
        <f t="shared" si="95"/>
        <v>0</v>
      </c>
      <c r="R94" s="1016">
        <f>SUM(F94:G94,H94/2)</f>
        <v>0</v>
      </c>
      <c r="S94" s="1775"/>
      <c r="T94" s="1775"/>
      <c r="U94" s="1605" t="e">
        <f t="shared" si="112"/>
        <v>#DIV/0!</v>
      </c>
      <c r="V94" s="1605"/>
      <c r="W94" s="1605"/>
      <c r="X94" s="1009">
        <f>SUM(H94/2,I94:O94)</f>
        <v>0</v>
      </c>
      <c r="Y94" s="1616" t="e">
        <f t="shared" si="113"/>
        <v>#DIV/0!</v>
      </c>
      <c r="Z94" s="1009"/>
      <c r="AA94" s="1616" t="e">
        <f t="shared" si="99"/>
        <v>#DIV/0!</v>
      </c>
      <c r="AB94" s="1008"/>
      <c r="AC94" s="1019"/>
      <c r="AE94" s="46">
        <f t="shared" si="114"/>
        <v>0</v>
      </c>
      <c r="AG94" s="1792">
        <f t="shared" si="115"/>
        <v>0</v>
      </c>
      <c r="AH94" s="1792">
        <f t="shared" si="116"/>
        <v>0</v>
      </c>
      <c r="AI94" s="1792">
        <f t="shared" si="117"/>
        <v>0</v>
      </c>
      <c r="AJ94" s="1792">
        <f t="shared" si="118"/>
        <v>0</v>
      </c>
    </row>
    <row r="95" spans="2:36" hidden="1" outlineLevel="1">
      <c r="B95" s="1007" t="s">
        <v>5</v>
      </c>
      <c r="C95" s="1008" t="s">
        <v>205</v>
      </c>
      <c r="D95" s="1008" t="s">
        <v>10</v>
      </c>
      <c r="E95" s="1008" t="s">
        <v>0</v>
      </c>
      <c r="F95" s="1716"/>
      <c r="G95" s="1716"/>
      <c r="H95" s="1716"/>
      <c r="I95" s="1716"/>
      <c r="J95" s="1716"/>
      <c r="K95" s="1716"/>
      <c r="L95" s="1716"/>
      <c r="M95" s="1716"/>
      <c r="N95" s="1716"/>
      <c r="O95" s="1716"/>
      <c r="P95" s="1732">
        <f t="shared" si="94"/>
        <v>0</v>
      </c>
      <c r="Q95" s="46">
        <f t="shared" si="95"/>
        <v>0</v>
      </c>
      <c r="R95" s="1016">
        <f>SUM(F95:G95,H95/2)</f>
        <v>0</v>
      </c>
      <c r="S95" s="1775"/>
      <c r="T95" s="1775"/>
      <c r="U95" s="1605" t="e">
        <f t="shared" si="112"/>
        <v>#DIV/0!</v>
      </c>
      <c r="V95" s="1605"/>
      <c r="W95" s="1605"/>
      <c r="X95" s="1009">
        <f>SUM(H95/2,I95:O95)</f>
        <v>0</v>
      </c>
      <c r="Y95" s="1616" t="e">
        <f t="shared" si="113"/>
        <v>#DIV/0!</v>
      </c>
      <c r="Z95" s="1009"/>
      <c r="AA95" s="1616" t="e">
        <f t="shared" si="99"/>
        <v>#DIV/0!</v>
      </c>
      <c r="AB95" s="1008"/>
      <c r="AC95" s="1019"/>
      <c r="AE95" s="46">
        <f t="shared" si="114"/>
        <v>0</v>
      </c>
      <c r="AG95" s="1792">
        <f t="shared" si="115"/>
        <v>0</v>
      </c>
      <c r="AH95" s="1792">
        <f t="shared" si="116"/>
        <v>0</v>
      </c>
      <c r="AI95" s="1792">
        <f t="shared" si="117"/>
        <v>0</v>
      </c>
      <c r="AJ95" s="1792">
        <f t="shared" si="118"/>
        <v>0</v>
      </c>
    </row>
    <row r="96" spans="2:36" outlineLevel="1">
      <c r="B96" s="1007" t="s">
        <v>5</v>
      </c>
      <c r="C96" s="1008" t="s">
        <v>208</v>
      </c>
      <c r="D96" s="1008" t="s">
        <v>1567</v>
      </c>
      <c r="E96" s="1011" t="s">
        <v>0</v>
      </c>
      <c r="F96" s="1716"/>
      <c r="G96" s="1716"/>
      <c r="H96" s="1716">
        <f>'N_02 Vstupy'!$L$140*1.2*0.75</f>
        <v>1739995.5599999996</v>
      </c>
      <c r="I96" s="1716">
        <f>'N_02 Vstupy'!$L$140*1.2</f>
        <v>2319994.0799999996</v>
      </c>
      <c r="J96" s="1716">
        <f>'N_02 Vstupy'!$L$140*1.2</f>
        <v>2319994.0799999996</v>
      </c>
      <c r="K96" s="1716">
        <f>'N_02 Vstupy'!$L$140*1.2</f>
        <v>2319994.0799999996</v>
      </c>
      <c r="L96" s="1716">
        <f>'N_02 Vstupy'!$L$140*1.2</f>
        <v>2319994.0799999996</v>
      </c>
      <c r="M96" s="1716">
        <f>'N_02 Vstupy'!$L$140*1.2</f>
        <v>2319994.0799999996</v>
      </c>
      <c r="N96" s="1716">
        <f>'N_02 Vstupy'!$L$140*1.2</f>
        <v>2319994.0799999996</v>
      </c>
      <c r="O96" s="1716">
        <f>'N_02 Vstupy'!$L$140*1.2</f>
        <v>2319994.0799999996</v>
      </c>
      <c r="P96" s="1732">
        <f t="shared" si="94"/>
        <v>17979954.119999997</v>
      </c>
      <c r="Q96" s="46">
        <f t="shared" si="95"/>
        <v>0</v>
      </c>
      <c r="R96" s="1222">
        <f>SUM(F96:G96,H96*1/3)</f>
        <v>579998.5199999999</v>
      </c>
      <c r="S96" s="1777">
        <f t="shared" ref="S96:S97" si="119">R96/1.2</f>
        <v>483332.09999999992</v>
      </c>
      <c r="T96" s="1777">
        <f t="shared" ref="T96:T97" si="120">S96*0.2</f>
        <v>96666.419999999984</v>
      </c>
      <c r="U96" s="1606">
        <f t="shared" si="112"/>
        <v>3.2258064516129031E-2</v>
      </c>
      <c r="V96" s="1700">
        <f>H96*2/3</f>
        <v>1159997.0399999998</v>
      </c>
      <c r="W96" s="1700">
        <f>SUM(I96:O96)</f>
        <v>16239958.559999999</v>
      </c>
      <c r="X96" s="1012">
        <f>SUM(H96*2/3,I96:O96)</f>
        <v>17399955.599999998</v>
      </c>
      <c r="Y96" s="1617">
        <f t="shared" si="113"/>
        <v>0.967741935483871</v>
      </c>
      <c r="Z96" s="1012"/>
      <c r="AA96" s="1617">
        <f t="shared" si="99"/>
        <v>0</v>
      </c>
      <c r="AB96" s="1008"/>
      <c r="AC96" s="1019"/>
      <c r="AE96" s="46">
        <f t="shared" si="114"/>
        <v>0</v>
      </c>
      <c r="AG96" s="1793">
        <f t="shared" si="115"/>
        <v>966664.19999999984</v>
      </c>
      <c r="AH96" s="1793">
        <f t="shared" si="116"/>
        <v>193332.83999999997</v>
      </c>
      <c r="AI96" s="1793">
        <f t="shared" si="117"/>
        <v>13533298.799999999</v>
      </c>
      <c r="AJ96" s="1793">
        <f t="shared" si="118"/>
        <v>2706659.76</v>
      </c>
    </row>
    <row r="97" spans="2:36" outlineLevel="1">
      <c r="B97" s="1007" t="s">
        <v>5</v>
      </c>
      <c r="C97" s="1008" t="s">
        <v>208</v>
      </c>
      <c r="D97" s="1008" t="s">
        <v>1562</v>
      </c>
      <c r="E97" s="1008" t="s">
        <v>0</v>
      </c>
      <c r="F97" s="1716"/>
      <c r="G97" s="1716"/>
      <c r="H97" s="1716">
        <f>'N_02 Vstupy'!$L$141*1.2*0.75</f>
        <v>53773.2</v>
      </c>
      <c r="I97" s="1716">
        <f>'N_02 Vstupy'!$L$141*1.2</f>
        <v>71697.599999999991</v>
      </c>
      <c r="J97" s="1716">
        <f>'N_02 Vstupy'!$L$141*1.2</f>
        <v>71697.599999999991</v>
      </c>
      <c r="K97" s="1716">
        <f>'N_02 Vstupy'!$L$141*1.2</f>
        <v>71697.599999999991</v>
      </c>
      <c r="L97" s="1716">
        <f>'N_02 Vstupy'!$L$141*1.2</f>
        <v>71697.599999999991</v>
      </c>
      <c r="M97" s="1716">
        <f>'N_02 Vstupy'!$L$141*1.2</f>
        <v>71697.599999999991</v>
      </c>
      <c r="N97" s="1716">
        <f>'N_02 Vstupy'!$L$141*1.2</f>
        <v>71697.599999999991</v>
      </c>
      <c r="O97" s="1716">
        <f>'N_02 Vstupy'!$L$141*1.2</f>
        <v>71697.599999999991</v>
      </c>
      <c r="P97" s="1732">
        <f t="shared" si="94"/>
        <v>555656.39999999991</v>
      </c>
      <c r="Q97" s="46">
        <f t="shared" si="95"/>
        <v>0</v>
      </c>
      <c r="R97" s="1016">
        <f>SUM(F97:G97,H97*1/3)</f>
        <v>17924.399999999998</v>
      </c>
      <c r="S97" s="1775">
        <f t="shared" si="119"/>
        <v>14936.999999999998</v>
      </c>
      <c r="T97" s="1775">
        <f t="shared" si="120"/>
        <v>2987.3999999999996</v>
      </c>
      <c r="U97" s="1605">
        <f t="shared" si="112"/>
        <v>3.2258064516129031E-2</v>
      </c>
      <c r="V97" s="1699">
        <f>H97*2/3</f>
        <v>35848.799999999996</v>
      </c>
      <c r="W97" s="1699">
        <f>SUM(I97:O97)</f>
        <v>501883.1999999999</v>
      </c>
      <c r="X97" s="1009">
        <f>SUM(H97*2/3,I97:O97)</f>
        <v>537731.99999999988</v>
      </c>
      <c r="Y97" s="1616">
        <f t="shared" si="113"/>
        <v>0.96774193548387089</v>
      </c>
      <c r="Z97" s="1009"/>
      <c r="AA97" s="1616">
        <f t="shared" si="99"/>
        <v>0</v>
      </c>
      <c r="AB97" s="1008"/>
      <c r="AC97" s="1019"/>
      <c r="AE97" s="46">
        <f t="shared" si="114"/>
        <v>0</v>
      </c>
      <c r="AG97" s="1792">
        <f t="shared" si="115"/>
        <v>29873.999999999996</v>
      </c>
      <c r="AH97" s="1792">
        <f t="shared" si="116"/>
        <v>5974.7999999999993</v>
      </c>
      <c r="AI97" s="1792">
        <f t="shared" si="117"/>
        <v>418235.99999999994</v>
      </c>
      <c r="AJ97" s="1792">
        <f t="shared" si="118"/>
        <v>83647.199999999997</v>
      </c>
    </row>
    <row r="98" spans="2:36" outlineLevel="1">
      <c r="B98" s="1007" t="s">
        <v>5</v>
      </c>
      <c r="C98" s="1008" t="s">
        <v>208</v>
      </c>
      <c r="D98" s="1008" t="s">
        <v>1563</v>
      </c>
      <c r="E98" s="1011" t="s">
        <v>0</v>
      </c>
      <c r="F98" s="1716"/>
      <c r="G98" s="1716"/>
      <c r="H98" s="1716">
        <f>'N_02 Vstupy'!C164</f>
        <v>123451.7396891416</v>
      </c>
      <c r="I98" s="1716">
        <f>'N_02 Vstupy'!D164</f>
        <v>489295.62381815113</v>
      </c>
      <c r="J98" s="1716">
        <f>'N_02 Vstupy'!E164</f>
        <v>697968.14312436176</v>
      </c>
      <c r="K98" s="1716">
        <f>'N_02 Vstupy'!F164</f>
        <v>904805.50711061386</v>
      </c>
      <c r="L98" s="1716">
        <f>'N_02 Vstupy'!G164</f>
        <v>1120287.469144102</v>
      </c>
      <c r="M98" s="1716">
        <f>'N_02 Vstupy'!H164</f>
        <v>1340201.8125728739</v>
      </c>
      <c r="N98" s="1716">
        <f>'N_02 Vstupy'!I164</f>
        <v>1564767.3970630881</v>
      </c>
      <c r="O98" s="1716">
        <f>'N_02 Vstupy'!J164</f>
        <v>1794211.6984954316</v>
      </c>
      <c r="P98" s="1732">
        <f t="shared" si="94"/>
        <v>8034989.3910177639</v>
      </c>
      <c r="Q98" s="46">
        <f t="shared" si="95"/>
        <v>0</v>
      </c>
      <c r="R98" s="1222">
        <v>0</v>
      </c>
      <c r="S98" s="1777"/>
      <c r="T98" s="1777"/>
      <c r="U98" s="1606">
        <f t="shared" si="112"/>
        <v>0</v>
      </c>
      <c r="V98" s="1700"/>
      <c r="W98" s="1700"/>
      <c r="X98" s="1012"/>
      <c r="Y98" s="1617">
        <f t="shared" si="113"/>
        <v>0</v>
      </c>
      <c r="Z98" s="1012">
        <f>SUM(H98:O98)</f>
        <v>8034989.3910177639</v>
      </c>
      <c r="AA98" s="1617">
        <f t="shared" si="99"/>
        <v>1</v>
      </c>
      <c r="AB98" s="1008"/>
      <c r="AC98" s="1019"/>
      <c r="AE98" s="46">
        <f t="shared" si="114"/>
        <v>-8034989.3910177639</v>
      </c>
      <c r="AG98" s="1793">
        <f t="shared" si="115"/>
        <v>0</v>
      </c>
      <c r="AH98" s="1793">
        <f t="shared" si="116"/>
        <v>0</v>
      </c>
      <c r="AI98" s="1793">
        <f t="shared" si="117"/>
        <v>0</v>
      </c>
      <c r="AJ98" s="1793">
        <f t="shared" si="118"/>
        <v>0</v>
      </c>
    </row>
    <row r="99" spans="2:36" outlineLevel="1">
      <c r="B99" s="1002"/>
      <c r="C99" s="1003" t="s">
        <v>1372</v>
      </c>
      <c r="D99" s="1004"/>
      <c r="E99" s="1004"/>
      <c r="F99" s="1713">
        <f>SUM(F100:F103)</f>
        <v>395529.45</v>
      </c>
      <c r="G99" s="1713">
        <f t="shared" ref="G99:O99" si="121">SUM(G100:G103)</f>
        <v>929551.95</v>
      </c>
      <c r="H99" s="1713">
        <f t="shared" si="121"/>
        <v>1171684.95</v>
      </c>
      <c r="I99" s="1713">
        <f t="shared" si="121"/>
        <v>720027</v>
      </c>
      <c r="J99" s="1713">
        <f t="shared" si="121"/>
        <v>720027</v>
      </c>
      <c r="K99" s="1713">
        <f t="shared" si="121"/>
        <v>669351</v>
      </c>
      <c r="L99" s="1713">
        <f t="shared" si="121"/>
        <v>669351</v>
      </c>
      <c r="M99" s="1713">
        <f t="shared" si="121"/>
        <v>669351</v>
      </c>
      <c r="N99" s="1713">
        <f t="shared" si="121"/>
        <v>669351</v>
      </c>
      <c r="O99" s="1713">
        <f t="shared" si="121"/>
        <v>669351</v>
      </c>
      <c r="P99" s="1714">
        <f t="shared" si="94"/>
        <v>7283575.3499999996</v>
      </c>
      <c r="Q99" s="46">
        <f t="shared" si="95"/>
        <v>0</v>
      </c>
      <c r="R99" s="1007"/>
      <c r="S99" s="1776"/>
      <c r="T99" s="1776"/>
      <c r="U99" s="1605"/>
      <c r="V99" s="1605"/>
      <c r="W99" s="1605"/>
      <c r="X99" s="1009"/>
      <c r="Y99" s="1616"/>
      <c r="Z99" s="1009"/>
      <c r="AA99" s="1616">
        <f t="shared" si="99"/>
        <v>0</v>
      </c>
      <c r="AB99" s="1008"/>
      <c r="AC99" s="1019"/>
      <c r="AE99" s="46"/>
      <c r="AG99" s="1792">
        <f t="shared" si="115"/>
        <v>0</v>
      </c>
      <c r="AH99" s="1792">
        <f t="shared" si="116"/>
        <v>0</v>
      </c>
      <c r="AI99" s="1792">
        <f t="shared" si="117"/>
        <v>0</v>
      </c>
      <c r="AJ99" s="1792">
        <f t="shared" si="118"/>
        <v>0</v>
      </c>
    </row>
    <row r="100" spans="2:36" outlineLevel="1">
      <c r="B100" s="1007" t="s">
        <v>5</v>
      </c>
      <c r="C100" s="1008" t="s">
        <v>209</v>
      </c>
      <c r="D100" s="1008" t="s">
        <v>210</v>
      </c>
      <c r="E100" s="1008" t="s">
        <v>0</v>
      </c>
      <c r="F100" s="1716">
        <f>'N_02 Vstupy'!$C$54</f>
        <v>69264</v>
      </c>
      <c r="G100" s="1716">
        <f>'N_02 Vstupy'!$D$54</f>
        <v>138528</v>
      </c>
      <c r="H100" s="1716">
        <f>'N_02 Vstupy'!$E$54</f>
        <v>138528</v>
      </c>
      <c r="I100" s="1716">
        <f>'N_02 Vstupy'!$F$54</f>
        <v>92352</v>
      </c>
      <c r="J100" s="1716">
        <f>'N_02 Vstupy'!$G$54</f>
        <v>92352</v>
      </c>
      <c r="K100" s="1716">
        <f>'N_02 Vstupy'!$H$54</f>
        <v>46176</v>
      </c>
      <c r="L100" s="1716">
        <f>'N_02 Vstupy'!$I$54</f>
        <v>46176</v>
      </c>
      <c r="M100" s="1716">
        <f>'N_02 Vstupy'!$J$54</f>
        <v>46176</v>
      </c>
      <c r="N100" s="1716">
        <f>'N_02 Vstupy'!$K$54</f>
        <v>46176</v>
      </c>
      <c r="O100" s="1716">
        <f>'N_02 Vstupy'!$L$54</f>
        <v>46176</v>
      </c>
      <c r="P100" s="1732">
        <f t="shared" si="94"/>
        <v>761904</v>
      </c>
      <c r="Q100" s="46">
        <f t="shared" si="95"/>
        <v>0</v>
      </c>
      <c r="R100" s="1016">
        <f>SUM(F100:G100,H100/2)</f>
        <v>277056</v>
      </c>
      <c r="S100" s="1775">
        <f>R100</f>
        <v>277056</v>
      </c>
      <c r="T100" s="1775"/>
      <c r="U100" s="1605">
        <f>R100/P100</f>
        <v>0.36363636363636365</v>
      </c>
      <c r="V100" s="1699">
        <f>H100/2</f>
        <v>69264</v>
      </c>
      <c r="W100" s="1699">
        <f>SUM(I100:O100)</f>
        <v>415584</v>
      </c>
      <c r="X100" s="1009">
        <f>SUM(H100/2,I100:O100)</f>
        <v>484848</v>
      </c>
      <c r="Y100" s="1616">
        <f>X100/P100</f>
        <v>0.63636363636363635</v>
      </c>
      <c r="Z100" s="1009"/>
      <c r="AA100" s="1616">
        <f t="shared" si="99"/>
        <v>0</v>
      </c>
      <c r="AB100" s="1008"/>
      <c r="AC100" s="1019"/>
      <c r="AE100" s="46">
        <f>SUM(R100,X100)-P100</f>
        <v>0</v>
      </c>
      <c r="AG100" s="1796">
        <f>V100</f>
        <v>69264</v>
      </c>
      <c r="AH100" s="1796"/>
      <c r="AI100" s="1796">
        <f>W100</f>
        <v>415584</v>
      </c>
      <c r="AJ100" s="1796"/>
    </row>
    <row r="101" spans="2:36" outlineLevel="1">
      <c r="B101" s="1007" t="s">
        <v>5</v>
      </c>
      <c r="C101" s="1008" t="s">
        <v>205</v>
      </c>
      <c r="D101" s="1008" t="s">
        <v>404</v>
      </c>
      <c r="E101" s="1008" t="s">
        <v>0</v>
      </c>
      <c r="F101" s="1716">
        <f>'N_02 Vstupy'!$C$58</f>
        <v>300165.45</v>
      </c>
      <c r="G101" s="1716">
        <f>'N_02 Vstupy'!$D$58</f>
        <v>731173.95</v>
      </c>
      <c r="H101" s="1716">
        <f>'N_02 Vstupy'!$E$58</f>
        <v>377131.95</v>
      </c>
      <c r="I101" s="1716">
        <f>'N_02 Vstupy'!$F$58</f>
        <v>0</v>
      </c>
      <c r="J101" s="1716">
        <f>'N_02 Vstupy'!$G$58</f>
        <v>0</v>
      </c>
      <c r="K101" s="1716">
        <f>'N_02 Vstupy'!$H$58</f>
        <v>0</v>
      </c>
      <c r="L101" s="1716">
        <f>'N_02 Vstupy'!$I$58</f>
        <v>0</v>
      </c>
      <c r="M101" s="1716">
        <f>'N_02 Vstupy'!$J$58</f>
        <v>0</v>
      </c>
      <c r="N101" s="1716">
        <f>'N_02 Vstupy'!$K$58</f>
        <v>0</v>
      </c>
      <c r="O101" s="1716">
        <f>'N_02 Vstupy'!$L$58</f>
        <v>0</v>
      </c>
      <c r="P101" s="1732">
        <f t="shared" si="94"/>
        <v>1408471.3499999999</v>
      </c>
      <c r="Q101" s="46">
        <f t="shared" si="95"/>
        <v>0</v>
      </c>
      <c r="R101" s="1016">
        <f>SUM(F101:G101,H101)</f>
        <v>1408471.3499999999</v>
      </c>
      <c r="S101" s="1775">
        <f t="shared" ref="S101:S102" si="122">R101</f>
        <v>1408471.3499999999</v>
      </c>
      <c r="T101" s="1775"/>
      <c r="U101" s="1605">
        <f>R101/P101</f>
        <v>1</v>
      </c>
      <c r="V101" s="1699"/>
      <c r="W101" s="1699"/>
      <c r="X101" s="1009">
        <f>SUM(I101:O101)</f>
        <v>0</v>
      </c>
      <c r="Y101" s="1616">
        <f>X101/P101</f>
        <v>0</v>
      </c>
      <c r="Z101" s="1009"/>
      <c r="AA101" s="1616">
        <f t="shared" si="99"/>
        <v>0</v>
      </c>
      <c r="AB101" s="1008"/>
      <c r="AC101" s="1019"/>
      <c r="AE101" s="46">
        <f>SUM(R101,X101)-P101</f>
        <v>0</v>
      </c>
      <c r="AG101" s="1796">
        <f t="shared" ref="AG101:AG102" si="123">V101</f>
        <v>0</v>
      </c>
      <c r="AH101" s="1796"/>
      <c r="AI101" s="1796">
        <f t="shared" ref="AI101:AI102" si="124">W101</f>
        <v>0</v>
      </c>
      <c r="AJ101" s="1796"/>
    </row>
    <row r="102" spans="2:36" outlineLevel="1">
      <c r="B102" s="1007" t="s">
        <v>5</v>
      </c>
      <c r="C102" s="1008" t="s">
        <v>205</v>
      </c>
      <c r="D102" s="1008" t="s">
        <v>402</v>
      </c>
      <c r="E102" s="1008" t="s">
        <v>0</v>
      </c>
      <c r="F102" s="1716">
        <f>'N_02 Vstupy'!$C$68</f>
        <v>0</v>
      </c>
      <c r="G102" s="1716">
        <f>'N_02 Vstupy'!$D$68</f>
        <v>0</v>
      </c>
      <c r="H102" s="1716">
        <f>'N_02 Vstupy'!E$68</f>
        <v>578175</v>
      </c>
      <c r="I102" s="1716">
        <f>'N_02 Vstupy'!$F$68</f>
        <v>578175</v>
      </c>
      <c r="J102" s="1716">
        <f>'N_02 Vstupy'!$G$68</f>
        <v>578175</v>
      </c>
      <c r="K102" s="1716">
        <f>'N_02 Vstupy'!$H$68</f>
        <v>578175</v>
      </c>
      <c r="L102" s="1716">
        <f>'N_02 Vstupy'!$I$68</f>
        <v>578175</v>
      </c>
      <c r="M102" s="1716">
        <f>'N_02 Vstupy'!$J$68</f>
        <v>578175</v>
      </c>
      <c r="N102" s="1716">
        <f>'N_02 Vstupy'!$K$68</f>
        <v>578175</v>
      </c>
      <c r="O102" s="1716">
        <f>'N_02 Vstupy'!$L$68</f>
        <v>578175</v>
      </c>
      <c r="P102" s="1732">
        <f t="shared" si="94"/>
        <v>4625400</v>
      </c>
      <c r="Q102" s="46">
        <f t="shared" si="95"/>
        <v>0</v>
      </c>
      <c r="R102" s="1016">
        <f>SUM(F102:G102,H102/2)</f>
        <v>289087.5</v>
      </c>
      <c r="S102" s="1775">
        <f t="shared" si="122"/>
        <v>289087.5</v>
      </c>
      <c r="T102" s="1775"/>
      <c r="U102" s="1605">
        <f>R102/P102</f>
        <v>6.25E-2</v>
      </c>
      <c r="V102" s="1699">
        <f>H102/2</f>
        <v>289087.5</v>
      </c>
      <c r="W102" s="1699">
        <f>SUM(I102:O102)</f>
        <v>4047225</v>
      </c>
      <c r="X102" s="1009">
        <f>SUM(H102/2,I102:O102)</f>
        <v>4336312.5</v>
      </c>
      <c r="Y102" s="1616">
        <f>X102/P102</f>
        <v>0.9375</v>
      </c>
      <c r="Z102" s="1009"/>
      <c r="AA102" s="1616">
        <f t="shared" si="99"/>
        <v>0</v>
      </c>
      <c r="AB102" s="1008"/>
      <c r="AC102" s="1019"/>
      <c r="AE102" s="46">
        <f>SUM(R102,X102)-P102</f>
        <v>0</v>
      </c>
      <c r="AG102" s="1796">
        <f t="shared" si="123"/>
        <v>289087.5</v>
      </c>
      <c r="AH102" s="1796"/>
      <c r="AI102" s="1796">
        <f t="shared" si="124"/>
        <v>4047225</v>
      </c>
      <c r="AJ102" s="1796"/>
    </row>
    <row r="103" spans="2:36" outlineLevel="1">
      <c r="B103" s="1007" t="s">
        <v>5</v>
      </c>
      <c r="C103" s="1008" t="s">
        <v>209</v>
      </c>
      <c r="D103" s="1008" t="s">
        <v>1851</v>
      </c>
      <c r="E103" s="1008" t="s">
        <v>0</v>
      </c>
      <c r="F103" s="1716">
        <f>'N_02 Vstupy'!C74*1.2</f>
        <v>26100</v>
      </c>
      <c r="G103" s="1716">
        <f>'N_02 Vstupy'!D74*1.2</f>
        <v>59850</v>
      </c>
      <c r="H103" s="1716">
        <f>'N_02 Vstupy'!E74*1.2</f>
        <v>77850</v>
      </c>
      <c r="I103" s="1716">
        <f>'N_02 Vstupy'!F74*1.2</f>
        <v>49500</v>
      </c>
      <c r="J103" s="1716">
        <f>'N_02 Vstupy'!G74*1.2</f>
        <v>49500</v>
      </c>
      <c r="K103" s="1716">
        <f>'N_02 Vstupy'!H74*1.2</f>
        <v>45000</v>
      </c>
      <c r="L103" s="1716">
        <f>'N_02 Vstupy'!I74*1.2</f>
        <v>45000</v>
      </c>
      <c r="M103" s="1716">
        <f>'N_02 Vstupy'!J74*1.2</f>
        <v>45000</v>
      </c>
      <c r="N103" s="1716">
        <f>'N_02 Vstupy'!K74*1.2</f>
        <v>45000</v>
      </c>
      <c r="O103" s="1716">
        <f>'N_02 Vstupy'!L74*1.2</f>
        <v>45000</v>
      </c>
      <c r="P103" s="1732">
        <f>SUM(F103:O103)</f>
        <v>487800</v>
      </c>
      <c r="Q103" s="46">
        <f t="shared" si="95"/>
        <v>0</v>
      </c>
      <c r="R103" s="1016">
        <f>SUM(F103:G103,H103/2)</f>
        <v>124875</v>
      </c>
      <c r="S103" s="1775">
        <f t="shared" ref="S103" si="125">R103/1.2</f>
        <v>104062.5</v>
      </c>
      <c r="T103" s="1775">
        <f t="shared" ref="T103" si="126">S103*0.2</f>
        <v>20812.5</v>
      </c>
      <c r="U103" s="1605">
        <f>R103/P103</f>
        <v>0.25599630996309963</v>
      </c>
      <c r="V103" s="1699">
        <f>H103/2</f>
        <v>38925</v>
      </c>
      <c r="W103" s="1699">
        <f>SUM(I103:O103)</f>
        <v>324000</v>
      </c>
      <c r="X103" s="1009">
        <f>SUM(H103/2,I103:O103)</f>
        <v>362925</v>
      </c>
      <c r="Y103" s="1616">
        <f>X103/P103</f>
        <v>0.74400369003690037</v>
      </c>
      <c r="Z103" s="1009"/>
      <c r="AA103" s="1616">
        <f t="shared" si="99"/>
        <v>0</v>
      </c>
      <c r="AB103" s="1008"/>
      <c r="AC103" s="1019"/>
      <c r="AE103" s="46">
        <f>SUM(R103,X103)-P103</f>
        <v>0</v>
      </c>
      <c r="AG103" s="1792">
        <f t="shared" si="115"/>
        <v>32437.5</v>
      </c>
      <c r="AH103" s="1792">
        <f t="shared" si="116"/>
        <v>6487.5</v>
      </c>
      <c r="AI103" s="1792">
        <f t="shared" si="117"/>
        <v>270000</v>
      </c>
      <c r="AJ103" s="1792">
        <f t="shared" si="118"/>
        <v>54000</v>
      </c>
    </row>
    <row r="104" spans="2:36" outlineLevel="1">
      <c r="B104" s="1002"/>
      <c r="C104" s="1003" t="s">
        <v>1843</v>
      </c>
      <c r="D104" s="1004"/>
      <c r="E104" s="1004"/>
      <c r="F104" s="1713">
        <f>SUM(F105)</f>
        <v>594432</v>
      </c>
      <c r="G104" s="1713">
        <f t="shared" ref="G104" si="127">SUM(G105)</f>
        <v>1188864</v>
      </c>
      <c r="H104" s="1713">
        <f t="shared" ref="H104" si="128">SUM(H105)</f>
        <v>1188864</v>
      </c>
      <c r="I104" s="1713">
        <f t="shared" ref="I104" si="129">SUM(I105)</f>
        <v>0</v>
      </c>
      <c r="J104" s="1713">
        <f t="shared" ref="J104" si="130">SUM(J105)</f>
        <v>0</v>
      </c>
      <c r="K104" s="1713">
        <f t="shared" ref="K104" si="131">SUM(K105)</f>
        <v>0</v>
      </c>
      <c r="L104" s="1713">
        <f t="shared" ref="L104" si="132">SUM(L105)</f>
        <v>0</v>
      </c>
      <c r="M104" s="1713">
        <f t="shared" ref="M104" si="133">SUM(M105)</f>
        <v>0</v>
      </c>
      <c r="N104" s="1713">
        <f t="shared" ref="N104" si="134">SUM(N105)</f>
        <v>0</v>
      </c>
      <c r="O104" s="1713">
        <f t="shared" ref="O104" si="135">SUM(O105)</f>
        <v>0</v>
      </c>
      <c r="P104" s="1714">
        <f t="shared" si="94"/>
        <v>2972160</v>
      </c>
      <c r="Q104" s="46">
        <f t="shared" si="95"/>
        <v>0</v>
      </c>
      <c r="R104" s="1007"/>
      <c r="S104" s="1776"/>
      <c r="T104" s="1776"/>
      <c r="U104" s="1605"/>
      <c r="V104" s="1699"/>
      <c r="W104" s="1699"/>
      <c r="X104" s="1009"/>
      <c r="Y104" s="1616"/>
      <c r="Z104" s="1009"/>
      <c r="AA104" s="1616">
        <f t="shared" si="99"/>
        <v>0</v>
      </c>
      <c r="AB104" s="1008"/>
      <c r="AC104" s="1019"/>
      <c r="AE104" s="46"/>
      <c r="AG104" s="1792">
        <f t="shared" si="115"/>
        <v>0</v>
      </c>
      <c r="AH104" s="1792">
        <f t="shared" si="116"/>
        <v>0</v>
      </c>
      <c r="AI104" s="1792">
        <f t="shared" si="117"/>
        <v>0</v>
      </c>
      <c r="AJ104" s="1792">
        <f t="shared" si="118"/>
        <v>0</v>
      </c>
    </row>
    <row r="105" spans="2:36" outlineLevel="1">
      <c r="B105" s="1007" t="s">
        <v>5</v>
      </c>
      <c r="C105" s="1008" t="s">
        <v>209</v>
      </c>
      <c r="D105" s="1008" t="s">
        <v>1844</v>
      </c>
      <c r="E105" s="1008" t="s">
        <v>0</v>
      </c>
      <c r="F105" s="1716">
        <f>'N_02 Vstupy'!$D$102*1.2</f>
        <v>594432</v>
      </c>
      <c r="G105" s="1716">
        <f>'N_02 Vstupy'!$F$102*1.2</f>
        <v>1188864</v>
      </c>
      <c r="H105" s="1716">
        <f>'N_02 Vstupy'!$H$102*1.2</f>
        <v>1188864</v>
      </c>
      <c r="I105" s="1716">
        <f>'N_02 Vstupy'!$J$102*1.2</f>
        <v>0</v>
      </c>
      <c r="J105" s="1716"/>
      <c r="K105" s="1716"/>
      <c r="L105" s="1716"/>
      <c r="M105" s="1716"/>
      <c r="N105" s="1716"/>
      <c r="O105" s="1716"/>
      <c r="P105" s="1732">
        <f t="shared" si="94"/>
        <v>2972160</v>
      </c>
      <c r="Q105" s="46">
        <f t="shared" si="95"/>
        <v>0</v>
      </c>
      <c r="R105" s="1016">
        <f>SUM(F105:G105,H105)</f>
        <v>2972160</v>
      </c>
      <c r="S105" s="1775">
        <f t="shared" ref="S105" si="136">R105/1.2</f>
        <v>2476800</v>
      </c>
      <c r="T105" s="1775">
        <f t="shared" ref="T105" si="137">S105*0.2</f>
        <v>495360</v>
      </c>
      <c r="U105" s="1605">
        <f>R105/P105</f>
        <v>1</v>
      </c>
      <c r="V105" s="1699"/>
      <c r="W105" s="1699"/>
      <c r="X105" s="1009"/>
      <c r="Y105" s="1616">
        <f>X105/P105</f>
        <v>0</v>
      </c>
      <c r="Z105" s="1009"/>
      <c r="AA105" s="1616">
        <f t="shared" si="99"/>
        <v>0</v>
      </c>
      <c r="AB105" s="1008"/>
      <c r="AC105" s="1019"/>
      <c r="AE105" s="46">
        <f>SUM(R105,X105)-P105</f>
        <v>0</v>
      </c>
      <c r="AG105" s="1792">
        <f t="shared" si="115"/>
        <v>0</v>
      </c>
      <c r="AH105" s="1792">
        <f t="shared" si="116"/>
        <v>0</v>
      </c>
      <c r="AI105" s="1792">
        <f t="shared" si="117"/>
        <v>0</v>
      </c>
      <c r="AJ105" s="1792">
        <f t="shared" si="118"/>
        <v>0</v>
      </c>
    </row>
    <row r="106" spans="2:36" outlineLevel="1">
      <c r="B106" s="1002"/>
      <c r="C106" s="1003" t="s">
        <v>1373</v>
      </c>
      <c r="D106" s="1004"/>
      <c r="E106" s="1004"/>
      <c r="F106" s="1713">
        <f>SUM(F107)</f>
        <v>0</v>
      </c>
      <c r="G106" s="1713">
        <f t="shared" ref="G106" si="138">SUM(G107)</f>
        <v>478884</v>
      </c>
      <c r="H106" s="1713">
        <f t="shared" ref="H106" si="139">SUM(H107)</f>
        <v>1915536</v>
      </c>
      <c r="I106" s="1713">
        <f t="shared" ref="I106" si="140">SUM(I107)</f>
        <v>60000</v>
      </c>
      <c r="J106" s="1713">
        <f t="shared" ref="J106" si="141">SUM(J107)</f>
        <v>60000</v>
      </c>
      <c r="K106" s="1713">
        <f t="shared" ref="K106" si="142">SUM(K107)</f>
        <v>0</v>
      </c>
      <c r="L106" s="1713">
        <f t="shared" ref="L106" si="143">SUM(L107)</f>
        <v>0</v>
      </c>
      <c r="M106" s="1713">
        <f t="shared" ref="M106" si="144">SUM(M107)</f>
        <v>0</v>
      </c>
      <c r="N106" s="1713">
        <f t="shared" ref="N106" si="145">SUM(N107)</f>
        <v>0</v>
      </c>
      <c r="O106" s="1713">
        <f t="shared" ref="O106" si="146">SUM(O107)</f>
        <v>0</v>
      </c>
      <c r="P106" s="1732">
        <f t="shared" si="94"/>
        <v>2514420</v>
      </c>
      <c r="Q106" s="46">
        <f t="shared" si="95"/>
        <v>0</v>
      </c>
      <c r="R106" s="1007"/>
      <c r="S106" s="1776"/>
      <c r="T106" s="1776"/>
      <c r="U106" s="1605"/>
      <c r="V106" s="1699"/>
      <c r="W106" s="1699"/>
      <c r="X106" s="1009"/>
      <c r="Y106" s="1616"/>
      <c r="Z106" s="1009"/>
      <c r="AA106" s="1616">
        <f t="shared" si="99"/>
        <v>0</v>
      </c>
      <c r="AB106" s="1008"/>
      <c r="AC106" s="1019"/>
      <c r="AE106" s="46"/>
      <c r="AG106" s="1792">
        <f t="shared" si="115"/>
        <v>0</v>
      </c>
      <c r="AH106" s="1792">
        <f t="shared" si="116"/>
        <v>0</v>
      </c>
      <c r="AI106" s="1792">
        <f t="shared" si="117"/>
        <v>0</v>
      </c>
      <c r="AJ106" s="1792">
        <f t="shared" si="118"/>
        <v>0</v>
      </c>
    </row>
    <row r="107" spans="2:36" ht="12.75" outlineLevel="1" thickBot="1">
      <c r="B107" s="1013" t="s">
        <v>5</v>
      </c>
      <c r="C107" s="1014" t="s">
        <v>1431</v>
      </c>
      <c r="D107" s="1014" t="s">
        <v>1431</v>
      </c>
      <c r="E107" s="1014" t="s">
        <v>0</v>
      </c>
      <c r="F107" s="1733"/>
      <c r="G107" s="1733">
        <f>'N_02 Vstupy'!$C$113*1.2</f>
        <v>478884</v>
      </c>
      <c r="H107" s="1733">
        <f>'N_02 Vstupy'!$D$113*1.2</f>
        <v>1915536</v>
      </c>
      <c r="I107" s="1733">
        <f>'N_02 Vstupy'!$E$113*1.2</f>
        <v>60000</v>
      </c>
      <c r="J107" s="1733">
        <f>'N_02 Vstupy'!$F$113*1.2</f>
        <v>60000</v>
      </c>
      <c r="K107" s="1733"/>
      <c r="L107" s="1733"/>
      <c r="M107" s="1733"/>
      <c r="N107" s="1733"/>
      <c r="O107" s="1733"/>
      <c r="P107" s="1734">
        <f t="shared" si="94"/>
        <v>2514420</v>
      </c>
      <c r="Q107" s="46">
        <f t="shared" si="95"/>
        <v>0</v>
      </c>
      <c r="R107" s="1020">
        <f>SUM(F107:G107,H107)</f>
        <v>2394420</v>
      </c>
      <c r="S107" s="1779">
        <f t="shared" ref="S107" si="147">R107/1.2</f>
        <v>1995350</v>
      </c>
      <c r="T107" s="1779">
        <f t="shared" ref="T107" si="148">S107*0.2</f>
        <v>399070</v>
      </c>
      <c r="U107" s="1608">
        <f>R107/P107</f>
        <v>0.95227527620683894</v>
      </c>
      <c r="V107" s="1702"/>
      <c r="W107" s="1702">
        <f>SUM(I107:J107)</f>
        <v>120000</v>
      </c>
      <c r="X107" s="1015">
        <f>SUM(I107:J107)</f>
        <v>120000</v>
      </c>
      <c r="Y107" s="1619">
        <f>X107/P107</f>
        <v>4.7724723793161047E-2</v>
      </c>
      <c r="Z107" s="1015"/>
      <c r="AA107" s="1619">
        <f t="shared" si="99"/>
        <v>0</v>
      </c>
      <c r="AB107" s="1014"/>
      <c r="AC107" s="1021"/>
      <c r="AE107" s="46">
        <f>SUM(R107,X107)-P107</f>
        <v>0</v>
      </c>
      <c r="AG107" s="1795">
        <f t="shared" si="115"/>
        <v>0</v>
      </c>
      <c r="AH107" s="1795">
        <f t="shared" si="116"/>
        <v>0</v>
      </c>
      <c r="AI107" s="1795">
        <f t="shared" si="117"/>
        <v>100000</v>
      </c>
      <c r="AJ107" s="1795">
        <f t="shared" si="118"/>
        <v>20000</v>
      </c>
    </row>
    <row r="108" spans="2:36" outlineLevel="1">
      <c r="P108" s="953"/>
      <c r="R108" s="46"/>
      <c r="S108" s="46"/>
      <c r="T108" s="46"/>
      <c r="X108" s="46"/>
      <c r="Z108" s="46"/>
    </row>
    <row r="109" spans="2:36" outlineLevel="1">
      <c r="P109" s="953"/>
      <c r="R109" s="46"/>
      <c r="S109" s="46"/>
      <c r="T109" s="46"/>
      <c r="X109" s="46"/>
      <c r="Z109" s="46"/>
    </row>
    <row r="110" spans="2:36" outlineLevel="1">
      <c r="P110" s="953"/>
      <c r="R110" s="46"/>
      <c r="S110" s="46"/>
      <c r="T110" s="46"/>
      <c r="X110" s="46"/>
      <c r="Z110" s="46"/>
    </row>
    <row r="111" spans="2:36" outlineLevel="1">
      <c r="P111" s="953"/>
      <c r="R111" s="46"/>
      <c r="S111" s="46"/>
      <c r="T111" s="46"/>
      <c r="X111" s="46"/>
      <c r="Z111" s="46"/>
    </row>
    <row r="112" spans="2:36" outlineLevel="1">
      <c r="P112" s="953"/>
      <c r="R112" s="46"/>
      <c r="S112" s="46"/>
      <c r="T112" s="46"/>
      <c r="X112" s="46"/>
      <c r="Z112" s="46"/>
    </row>
    <row r="113" spans="16:26" outlineLevel="1">
      <c r="P113" s="953"/>
      <c r="R113" s="46"/>
      <c r="S113" s="46"/>
      <c r="T113" s="46"/>
      <c r="X113" s="46"/>
      <c r="Z113" s="46"/>
    </row>
    <row r="114" spans="16:26" outlineLevel="1">
      <c r="P114" s="953"/>
      <c r="R114" s="46"/>
      <c r="S114" s="46"/>
      <c r="T114" s="46"/>
      <c r="X114" s="46"/>
      <c r="Z114" s="46"/>
    </row>
    <row r="115" spans="16:26" outlineLevel="1">
      <c r="P115" s="953"/>
      <c r="R115" s="46"/>
      <c r="S115" s="46"/>
      <c r="T115" s="46"/>
      <c r="X115" s="46"/>
      <c r="Z115" s="46"/>
    </row>
    <row r="116" spans="16:26" outlineLevel="1">
      <c r="P116" s="953"/>
      <c r="R116" s="46"/>
      <c r="S116" s="46"/>
      <c r="T116" s="46"/>
      <c r="X116" s="46"/>
      <c r="Z116" s="46"/>
    </row>
    <row r="117" spans="16:26" outlineLevel="1">
      <c r="P117" s="953"/>
      <c r="R117" s="46"/>
      <c r="S117" s="46"/>
      <c r="T117" s="46"/>
      <c r="X117" s="46"/>
      <c r="Z117" s="46"/>
    </row>
    <row r="118" spans="16:26" outlineLevel="1">
      <c r="P118" s="953"/>
      <c r="R118" s="46"/>
      <c r="S118" s="46"/>
      <c r="T118" s="46"/>
      <c r="X118" s="46"/>
      <c r="Z118" s="46"/>
    </row>
    <row r="119" spans="16:26" outlineLevel="1">
      <c r="P119" s="953"/>
      <c r="R119" s="46"/>
      <c r="S119" s="46"/>
      <c r="T119" s="46"/>
      <c r="X119" s="46"/>
      <c r="Z119" s="46"/>
    </row>
    <row r="120" spans="16:26" outlineLevel="1">
      <c r="P120" s="953"/>
      <c r="R120" s="46"/>
      <c r="S120" s="46"/>
      <c r="T120" s="46"/>
      <c r="X120" s="46"/>
      <c r="Z120" s="46"/>
    </row>
    <row r="121" spans="16:26" outlineLevel="1">
      <c r="P121" s="953"/>
      <c r="R121" s="46"/>
      <c r="S121" s="46"/>
      <c r="T121" s="46"/>
      <c r="X121" s="46"/>
      <c r="Z121" s="46"/>
    </row>
    <row r="122" spans="16:26" outlineLevel="1">
      <c r="P122" s="953"/>
      <c r="R122" s="46"/>
      <c r="S122" s="46"/>
      <c r="T122" s="46"/>
      <c r="X122" s="46"/>
      <c r="Z122" s="46"/>
    </row>
    <row r="123" spans="16:26" outlineLevel="1">
      <c r="P123" s="953"/>
      <c r="R123" s="46"/>
      <c r="S123" s="46"/>
      <c r="T123" s="46"/>
      <c r="X123" s="46"/>
      <c r="Z123" s="46"/>
    </row>
    <row r="124" spans="16:26" outlineLevel="1">
      <c r="P124" s="953"/>
      <c r="R124" s="46"/>
      <c r="S124" s="46"/>
      <c r="T124" s="46"/>
      <c r="X124" s="46"/>
      <c r="Z124" s="46"/>
    </row>
    <row r="125" spans="16:26" outlineLevel="1">
      <c r="P125" s="953"/>
      <c r="R125" s="46"/>
      <c r="S125" s="46"/>
      <c r="T125" s="46"/>
      <c r="X125" s="46"/>
      <c r="Z125" s="46"/>
    </row>
    <row r="126" spans="16:26" outlineLevel="1">
      <c r="P126" s="953"/>
      <c r="R126" s="46"/>
      <c r="S126" s="46"/>
      <c r="T126" s="46"/>
      <c r="X126" s="46"/>
      <c r="Z126" s="46"/>
    </row>
    <row r="127" spans="16:26" outlineLevel="1">
      <c r="P127" s="953"/>
      <c r="R127" s="46"/>
      <c r="S127" s="46"/>
      <c r="T127" s="46"/>
      <c r="X127" s="46"/>
      <c r="Z127" s="46"/>
    </row>
    <row r="128" spans="16:26" outlineLevel="1">
      <c r="P128" s="953"/>
      <c r="R128" s="46"/>
      <c r="S128" s="46"/>
      <c r="T128" s="46"/>
      <c r="X128" s="46"/>
      <c r="Z128" s="46"/>
    </row>
    <row r="129" spans="2:29" outlineLevel="1">
      <c r="P129" s="953"/>
      <c r="R129" s="46"/>
      <c r="S129" s="46"/>
      <c r="T129" s="46"/>
      <c r="X129" s="46"/>
      <c r="Z129" s="46"/>
    </row>
    <row r="130" spans="2:29" s="992" customFormat="1" outlineLevel="1">
      <c r="F130" s="993"/>
      <c r="G130" s="993"/>
      <c r="H130" s="993"/>
      <c r="I130" s="993"/>
      <c r="J130" s="993"/>
      <c r="K130" s="993"/>
      <c r="L130" s="993"/>
      <c r="M130" s="993"/>
      <c r="N130" s="993"/>
      <c r="O130" s="993"/>
      <c r="P130" s="994"/>
      <c r="R130" s="993"/>
      <c r="S130" s="993"/>
      <c r="T130" s="993"/>
      <c r="U130" s="1609"/>
      <c r="V130" s="1609"/>
      <c r="W130" s="1609"/>
      <c r="X130" s="993"/>
      <c r="Y130" s="1609"/>
      <c r="Z130" s="993"/>
      <c r="AA130" s="1609"/>
    </row>
    <row r="132" spans="2:29">
      <c r="B132" s="135"/>
      <c r="C132" s="134" t="s">
        <v>681</v>
      </c>
      <c r="D132" s="135"/>
      <c r="E132" s="135"/>
      <c r="F132" s="149" t="e">
        <f t="shared" ref="F132:O132" si="149">SUM(F171,F169,F159,F151,F147,F143,F139,F133)</f>
        <v>#REF!</v>
      </c>
      <c r="G132" s="149" t="e">
        <f t="shared" si="149"/>
        <v>#REF!</v>
      </c>
      <c r="H132" s="149">
        <f t="shared" si="149"/>
        <v>2144554.9500000002</v>
      </c>
      <c r="I132" s="149">
        <f t="shared" si="149"/>
        <v>670527</v>
      </c>
      <c r="J132" s="149">
        <f t="shared" si="149"/>
        <v>670527</v>
      </c>
      <c r="K132" s="149">
        <f t="shared" si="149"/>
        <v>624351</v>
      </c>
      <c r="L132" s="149">
        <f t="shared" si="149"/>
        <v>624351</v>
      </c>
      <c r="M132" s="149">
        <f t="shared" si="149"/>
        <v>624351</v>
      </c>
      <c r="N132" s="149">
        <f t="shared" si="149"/>
        <v>624351</v>
      </c>
      <c r="O132" s="149">
        <f t="shared" si="149"/>
        <v>624351</v>
      </c>
      <c r="P132" s="150" t="e">
        <f t="shared" ref="P132:P174" si="150">SUM(F132:O132)</f>
        <v>#REF!</v>
      </c>
      <c r="R132" s="194"/>
      <c r="S132" s="1780"/>
      <c r="T132" s="1780"/>
      <c r="U132" s="1610"/>
      <c r="V132" s="1610"/>
      <c r="W132" s="1610"/>
      <c r="X132" s="195"/>
      <c r="Y132" s="1620"/>
      <c r="Z132" s="195"/>
      <c r="AA132" s="1620"/>
      <c r="AB132" s="195"/>
      <c r="AC132" s="196"/>
    </row>
    <row r="133" spans="2:29" customFormat="1" ht="15" outlineLevel="1">
      <c r="B133" s="138"/>
      <c r="C133" s="136" t="s">
        <v>205</v>
      </c>
      <c r="D133" s="137"/>
      <c r="E133" s="138"/>
      <c r="F133" s="139">
        <f>SUM(F134:F138)</f>
        <v>300165.45</v>
      </c>
      <c r="G133" s="139" t="e">
        <f t="shared" ref="G133:O133" si="151">SUM(G134:G138)</f>
        <v>#REF!</v>
      </c>
      <c r="H133" s="139">
        <f t="shared" si="151"/>
        <v>377131.95</v>
      </c>
      <c r="I133" s="139">
        <f t="shared" si="151"/>
        <v>0</v>
      </c>
      <c r="J133" s="139">
        <f t="shared" si="151"/>
        <v>0</v>
      </c>
      <c r="K133" s="139">
        <f t="shared" si="151"/>
        <v>0</v>
      </c>
      <c r="L133" s="139">
        <f t="shared" si="151"/>
        <v>0</v>
      </c>
      <c r="M133" s="139">
        <f t="shared" si="151"/>
        <v>0</v>
      </c>
      <c r="N133" s="139">
        <f t="shared" si="151"/>
        <v>0</v>
      </c>
      <c r="O133" s="139">
        <f t="shared" si="151"/>
        <v>0</v>
      </c>
      <c r="P133" s="140" t="e">
        <f t="shared" si="150"/>
        <v>#REF!</v>
      </c>
      <c r="R133" s="191"/>
      <c r="S133" s="1781"/>
      <c r="T133" s="1781"/>
      <c r="U133" s="1611"/>
      <c r="V133" s="1611"/>
      <c r="W133" s="1611"/>
      <c r="X133" s="192"/>
      <c r="Y133" s="1621"/>
      <c r="Z133" s="192"/>
      <c r="AA133" s="1621"/>
      <c r="AB133" s="192"/>
      <c r="AC133" s="193"/>
    </row>
    <row r="134" spans="2:29" outlineLevel="1">
      <c r="B134" s="128" t="s">
        <v>7</v>
      </c>
      <c r="C134" s="126" t="s">
        <v>205</v>
      </c>
      <c r="D134" s="128" t="s">
        <v>198</v>
      </c>
      <c r="E134" s="128" t="s">
        <v>0</v>
      </c>
      <c r="F134" s="141"/>
      <c r="G134" s="141"/>
      <c r="H134" s="141"/>
      <c r="I134" s="141"/>
      <c r="J134" s="141"/>
      <c r="K134" s="141"/>
      <c r="L134" s="141"/>
      <c r="M134" s="141"/>
      <c r="N134" s="141"/>
      <c r="O134" s="141"/>
      <c r="P134" s="151">
        <f t="shared" si="150"/>
        <v>0</v>
      </c>
      <c r="R134" s="190">
        <f>SUM(F134:H134)</f>
        <v>0</v>
      </c>
      <c r="S134" s="182"/>
      <c r="T134" s="182"/>
      <c r="U134" s="1612"/>
      <c r="V134" s="1612"/>
      <c r="W134" s="1612"/>
      <c r="X134" s="142">
        <f>SUM(I134:O134)-AB134-AC134</f>
        <v>0</v>
      </c>
      <c r="Y134" s="725"/>
      <c r="Z134" s="142"/>
      <c r="AA134" s="725"/>
      <c r="AB134" s="128"/>
      <c r="AC134" s="154"/>
    </row>
    <row r="135" spans="2:29" outlineLevel="1">
      <c r="B135" s="128" t="s">
        <v>7</v>
      </c>
      <c r="C135" s="126" t="s">
        <v>205</v>
      </c>
      <c r="D135" s="128" t="s">
        <v>199</v>
      </c>
      <c r="E135" s="128" t="s">
        <v>0</v>
      </c>
      <c r="F135" s="141"/>
      <c r="G135" s="141"/>
      <c r="H135" s="141"/>
      <c r="I135" s="141"/>
      <c r="J135" s="141"/>
      <c r="K135" s="141"/>
      <c r="L135" s="141"/>
      <c r="M135" s="141"/>
      <c r="N135" s="141"/>
      <c r="O135" s="141"/>
      <c r="P135" s="151">
        <f t="shared" si="150"/>
        <v>0</v>
      </c>
      <c r="R135" s="190">
        <f>SUM(F135:H135)</f>
        <v>0</v>
      </c>
      <c r="S135" s="182"/>
      <c r="T135" s="182"/>
      <c r="U135" s="1612"/>
      <c r="V135" s="1612"/>
      <c r="W135" s="1612"/>
      <c r="X135" s="142">
        <f>SUM(I135:O135)-AB135-AC135</f>
        <v>0</v>
      </c>
      <c r="Y135" s="725"/>
      <c r="Z135" s="142"/>
      <c r="AA135" s="725"/>
      <c r="AB135" s="128"/>
      <c r="AC135" s="154"/>
    </row>
    <row r="136" spans="2:29" outlineLevel="1">
      <c r="B136" s="128" t="s">
        <v>7</v>
      </c>
      <c r="C136" s="126" t="s">
        <v>205</v>
      </c>
      <c r="D136" s="128" t="s">
        <v>3</v>
      </c>
      <c r="E136" s="128" t="s">
        <v>0</v>
      </c>
      <c r="F136" s="141"/>
      <c r="G136" s="141" t="e">
        <f>'N_03 Prieskum BO'!#REF!</f>
        <v>#REF!</v>
      </c>
      <c r="H136" s="141"/>
      <c r="I136" s="141"/>
      <c r="J136" s="141"/>
      <c r="K136" s="141"/>
      <c r="L136" s="141"/>
      <c r="M136" s="141"/>
      <c r="N136" s="141"/>
      <c r="O136" s="141"/>
      <c r="P136" s="151" t="e">
        <f t="shared" si="150"/>
        <v>#REF!</v>
      </c>
      <c r="R136" s="190" t="e">
        <f>SUM(F136:H136)</f>
        <v>#REF!</v>
      </c>
      <c r="S136" s="182"/>
      <c r="T136" s="182"/>
      <c r="U136" s="1612"/>
      <c r="V136" s="1612"/>
      <c r="W136" s="1612"/>
      <c r="X136" s="142">
        <f>SUM(I136:O136)-AB136-AC136</f>
        <v>0</v>
      </c>
      <c r="Y136" s="725"/>
      <c r="Z136" s="142"/>
      <c r="AA136" s="725"/>
      <c r="AB136" s="128"/>
      <c r="AC136" s="154"/>
    </row>
    <row r="137" spans="2:29" outlineLevel="1">
      <c r="B137" s="128" t="s">
        <v>7</v>
      </c>
      <c r="C137" s="126" t="s">
        <v>205</v>
      </c>
      <c r="D137" s="128" t="s">
        <v>256</v>
      </c>
      <c r="E137" s="128" t="s">
        <v>0</v>
      </c>
      <c r="F137" s="141"/>
      <c r="G137" s="141"/>
      <c r="H137" s="141"/>
      <c r="I137" s="141"/>
      <c r="J137" s="141"/>
      <c r="K137" s="141"/>
      <c r="L137" s="141"/>
      <c r="M137" s="141"/>
      <c r="N137" s="141"/>
      <c r="O137" s="141"/>
      <c r="P137" s="151">
        <f t="shared" si="150"/>
        <v>0</v>
      </c>
      <c r="R137" s="190">
        <f>SUM(F137:H137)</f>
        <v>0</v>
      </c>
      <c r="S137" s="182"/>
      <c r="T137" s="182"/>
      <c r="U137" s="1612"/>
      <c r="V137" s="1612"/>
      <c r="W137" s="1612"/>
      <c r="X137" s="142">
        <f>SUM(I137:O137)-AB137-AC137</f>
        <v>0</v>
      </c>
      <c r="Y137" s="725"/>
      <c r="Z137" s="142"/>
      <c r="AA137" s="725"/>
      <c r="AB137" s="128"/>
      <c r="AC137" s="154"/>
    </row>
    <row r="138" spans="2:29" outlineLevel="1">
      <c r="B138" s="128" t="s">
        <v>5</v>
      </c>
      <c r="C138" s="126" t="s">
        <v>205</v>
      </c>
      <c r="D138" s="128" t="s">
        <v>404</v>
      </c>
      <c r="E138" s="128" t="s">
        <v>0</v>
      </c>
      <c r="F138" s="142">
        <f>'N_02 Vstupy'!$C$58</f>
        <v>300165.45</v>
      </c>
      <c r="G138" s="142">
        <f>'N_02 Vstupy'!$D$58</f>
        <v>731173.95</v>
      </c>
      <c r="H138" s="142">
        <f>'N_02 Vstupy'!$E$58</f>
        <v>377131.95</v>
      </c>
      <c r="I138" s="142">
        <f>'N_02 Vstupy'!$F$58</f>
        <v>0</v>
      </c>
      <c r="J138" s="142">
        <f>'N_02 Vstupy'!$G$58</f>
        <v>0</v>
      </c>
      <c r="K138" s="142">
        <f>'N_02 Vstupy'!$H$58</f>
        <v>0</v>
      </c>
      <c r="L138" s="142">
        <f>'N_02 Vstupy'!$I$58</f>
        <v>0</v>
      </c>
      <c r="M138" s="142">
        <f>'N_02 Vstupy'!$J$58</f>
        <v>0</v>
      </c>
      <c r="N138" s="142">
        <f>'N_02 Vstupy'!$K$58</f>
        <v>0</v>
      </c>
      <c r="O138" s="142">
        <f>'N_02 Vstupy'!$L$58</f>
        <v>0</v>
      </c>
      <c r="P138" s="151">
        <f t="shared" si="150"/>
        <v>1408471.3499999999</v>
      </c>
      <c r="R138" s="190">
        <f>SUM(F138:H138)</f>
        <v>1408471.3499999999</v>
      </c>
      <c r="S138" s="182"/>
      <c r="T138" s="182"/>
      <c r="U138" s="1612"/>
      <c r="V138" s="1612"/>
      <c r="W138" s="1612"/>
      <c r="X138" s="142">
        <f>SUM(I138:O138)-AB138-AC138</f>
        <v>0</v>
      </c>
      <c r="Y138" s="725"/>
      <c r="Z138" s="142"/>
      <c r="AA138" s="725"/>
      <c r="AB138" s="128"/>
      <c r="AC138" s="154"/>
    </row>
    <row r="139" spans="2:29" outlineLevel="1" collapsed="1">
      <c r="B139" s="138"/>
      <c r="C139" s="136" t="s">
        <v>197</v>
      </c>
      <c r="D139" s="137"/>
      <c r="E139" s="138" t="s">
        <v>0</v>
      </c>
      <c r="F139" s="139">
        <f t="shared" ref="F139:O139" si="152">SUM(F140:F142)</f>
        <v>0</v>
      </c>
      <c r="G139" s="139">
        <f t="shared" si="152"/>
        <v>0</v>
      </c>
      <c r="H139" s="139">
        <f t="shared" si="152"/>
        <v>0</v>
      </c>
      <c r="I139" s="139">
        <f t="shared" si="152"/>
        <v>0</v>
      </c>
      <c r="J139" s="139">
        <f t="shared" si="152"/>
        <v>0</v>
      </c>
      <c r="K139" s="139">
        <f t="shared" si="152"/>
        <v>0</v>
      </c>
      <c r="L139" s="139">
        <f t="shared" si="152"/>
        <v>0</v>
      </c>
      <c r="M139" s="139">
        <f t="shared" si="152"/>
        <v>0</v>
      </c>
      <c r="N139" s="139">
        <f t="shared" si="152"/>
        <v>0</v>
      </c>
      <c r="O139" s="139">
        <f t="shared" si="152"/>
        <v>0</v>
      </c>
      <c r="P139" s="140">
        <f t="shared" si="150"/>
        <v>0</v>
      </c>
      <c r="R139" s="126"/>
      <c r="S139" s="127"/>
      <c r="T139" s="127"/>
      <c r="U139" s="1612"/>
      <c r="V139" s="1612"/>
      <c r="W139" s="1612"/>
      <c r="X139" s="128"/>
      <c r="Y139" s="725"/>
      <c r="Z139" s="128"/>
      <c r="AA139" s="725"/>
      <c r="AB139" s="128"/>
      <c r="AC139" s="154"/>
    </row>
    <row r="140" spans="2:29" outlineLevel="1">
      <c r="B140" s="128" t="s">
        <v>7</v>
      </c>
      <c r="C140" s="126" t="s">
        <v>200</v>
      </c>
      <c r="D140" s="128" t="s">
        <v>198</v>
      </c>
      <c r="E140" s="128" t="s">
        <v>0</v>
      </c>
      <c r="F140" s="141"/>
      <c r="G140" s="141"/>
      <c r="H140" s="141"/>
      <c r="I140" s="141"/>
      <c r="J140" s="141"/>
      <c r="K140" s="141"/>
      <c r="L140" s="141"/>
      <c r="M140" s="141"/>
      <c r="N140" s="141"/>
      <c r="O140" s="141"/>
      <c r="P140" s="151">
        <f t="shared" si="150"/>
        <v>0</v>
      </c>
      <c r="R140" s="190">
        <f>SUM(F140:H140)</f>
        <v>0</v>
      </c>
      <c r="S140" s="182"/>
      <c r="T140" s="182"/>
      <c r="U140" s="1612"/>
      <c r="V140" s="1612"/>
      <c r="W140" s="1612"/>
      <c r="X140" s="142">
        <f>SUM(I140:O140)-AB140-AC140</f>
        <v>0</v>
      </c>
      <c r="Y140" s="725"/>
      <c r="Z140" s="142"/>
      <c r="AA140" s="725"/>
      <c r="AB140" s="128"/>
      <c r="AC140" s="154"/>
    </row>
    <row r="141" spans="2:29" outlineLevel="1">
      <c r="B141" s="128" t="s">
        <v>7</v>
      </c>
      <c r="C141" s="126" t="s">
        <v>200</v>
      </c>
      <c r="D141" s="128" t="s">
        <v>199</v>
      </c>
      <c r="E141" s="128" t="s">
        <v>0</v>
      </c>
      <c r="F141" s="141"/>
      <c r="G141" s="141"/>
      <c r="H141" s="141"/>
      <c r="I141" s="141"/>
      <c r="J141" s="141"/>
      <c r="K141" s="141"/>
      <c r="L141" s="141"/>
      <c r="M141" s="141"/>
      <c r="N141" s="141"/>
      <c r="O141" s="141"/>
      <c r="P141" s="151">
        <f t="shared" si="150"/>
        <v>0</v>
      </c>
      <c r="R141" s="190">
        <f>SUM(F141:H141)</f>
        <v>0</v>
      </c>
      <c r="S141" s="182"/>
      <c r="T141" s="182"/>
      <c r="U141" s="1612"/>
      <c r="V141" s="1612"/>
      <c r="W141" s="1612"/>
      <c r="X141" s="142">
        <f>SUM(I141:O141)-AB141-AC141</f>
        <v>0</v>
      </c>
      <c r="Y141" s="725"/>
      <c r="Z141" s="142"/>
      <c r="AA141" s="725"/>
      <c r="AB141" s="128"/>
      <c r="AC141" s="154"/>
    </row>
    <row r="142" spans="2:29" outlineLevel="1">
      <c r="B142" s="128" t="s">
        <v>7</v>
      </c>
      <c r="C142" s="126" t="s">
        <v>200</v>
      </c>
      <c r="D142" s="128" t="s">
        <v>3</v>
      </c>
      <c r="E142" s="128" t="s">
        <v>0</v>
      </c>
      <c r="F142" s="141"/>
      <c r="G142" s="141"/>
      <c r="H142" s="141"/>
      <c r="I142" s="141"/>
      <c r="J142" s="141"/>
      <c r="K142" s="141"/>
      <c r="L142" s="141"/>
      <c r="M142" s="141"/>
      <c r="N142" s="141"/>
      <c r="O142" s="141"/>
      <c r="P142" s="151">
        <f t="shared" si="150"/>
        <v>0</v>
      </c>
      <c r="R142" s="190">
        <f>SUM(F142:H142)</f>
        <v>0</v>
      </c>
      <c r="S142" s="182"/>
      <c r="T142" s="182"/>
      <c r="U142" s="1612"/>
      <c r="V142" s="1612"/>
      <c r="W142" s="1612"/>
      <c r="X142" s="142">
        <f>SUM(I142:O142)-AB142-AC142</f>
        <v>0</v>
      </c>
      <c r="Y142" s="725"/>
      <c r="Z142" s="142"/>
      <c r="AA142" s="725"/>
      <c r="AB142" s="128"/>
      <c r="AC142" s="154"/>
    </row>
    <row r="143" spans="2:29" outlineLevel="1" collapsed="1">
      <c r="B143" s="138"/>
      <c r="C143" s="136" t="s">
        <v>204</v>
      </c>
      <c r="D143" s="137"/>
      <c r="E143" s="138" t="s">
        <v>0</v>
      </c>
      <c r="F143" s="139">
        <f t="shared" ref="F143:O143" si="153">SUM(F144:F146)</f>
        <v>0</v>
      </c>
      <c r="G143" s="139">
        <f t="shared" si="153"/>
        <v>0</v>
      </c>
      <c r="H143" s="139">
        <f t="shared" si="153"/>
        <v>0</v>
      </c>
      <c r="I143" s="139">
        <f t="shared" si="153"/>
        <v>0</v>
      </c>
      <c r="J143" s="139">
        <f t="shared" si="153"/>
        <v>0</v>
      </c>
      <c r="K143" s="139">
        <f t="shared" si="153"/>
        <v>0</v>
      </c>
      <c r="L143" s="139">
        <f t="shared" si="153"/>
        <v>0</v>
      </c>
      <c r="M143" s="139">
        <f t="shared" si="153"/>
        <v>0</v>
      </c>
      <c r="N143" s="139">
        <f t="shared" si="153"/>
        <v>0</v>
      </c>
      <c r="O143" s="139">
        <f t="shared" si="153"/>
        <v>0</v>
      </c>
      <c r="P143" s="140">
        <f t="shared" si="150"/>
        <v>0</v>
      </c>
      <c r="R143" s="126"/>
      <c r="S143" s="127"/>
      <c r="T143" s="127"/>
      <c r="U143" s="1612"/>
      <c r="V143" s="1612"/>
      <c r="W143" s="1612"/>
      <c r="X143" s="128"/>
      <c r="Y143" s="725"/>
      <c r="Z143" s="128"/>
      <c r="AA143" s="725"/>
      <c r="AB143" s="128"/>
      <c r="AC143" s="154"/>
    </row>
    <row r="144" spans="2:29" outlineLevel="1">
      <c r="B144" s="128" t="s">
        <v>7</v>
      </c>
      <c r="C144" s="126" t="s">
        <v>257</v>
      </c>
      <c r="D144" s="128" t="s">
        <v>198</v>
      </c>
      <c r="E144" s="128" t="s">
        <v>0</v>
      </c>
      <c r="F144" s="141"/>
      <c r="G144" s="141"/>
      <c r="H144" s="141"/>
      <c r="I144" s="141"/>
      <c r="J144" s="141"/>
      <c r="K144" s="141"/>
      <c r="L144" s="141"/>
      <c r="M144" s="141"/>
      <c r="N144" s="141"/>
      <c r="O144" s="141"/>
      <c r="P144" s="151">
        <f t="shared" si="150"/>
        <v>0</v>
      </c>
      <c r="R144" s="190">
        <f>SUM(F144:H144)</f>
        <v>0</v>
      </c>
      <c r="S144" s="182"/>
      <c r="T144" s="182"/>
      <c r="U144" s="1612"/>
      <c r="V144" s="1612"/>
      <c r="W144" s="1612"/>
      <c r="X144" s="142">
        <f>SUM(I144:O144)-AB144-AC144</f>
        <v>0</v>
      </c>
      <c r="Y144" s="725"/>
      <c r="Z144" s="142"/>
      <c r="AA144" s="725"/>
      <c r="AB144" s="128"/>
      <c r="AC144" s="154"/>
    </row>
    <row r="145" spans="2:29" outlineLevel="1">
      <c r="B145" s="128" t="s">
        <v>7</v>
      </c>
      <c r="C145" s="126" t="s">
        <v>257</v>
      </c>
      <c r="D145" s="128" t="s">
        <v>199</v>
      </c>
      <c r="E145" s="128" t="s">
        <v>0</v>
      </c>
      <c r="F145" s="141"/>
      <c r="G145" s="141"/>
      <c r="H145" s="141"/>
      <c r="I145" s="141"/>
      <c r="J145" s="141"/>
      <c r="K145" s="141"/>
      <c r="L145" s="141"/>
      <c r="M145" s="141"/>
      <c r="N145" s="141"/>
      <c r="O145" s="141"/>
      <c r="P145" s="151">
        <f t="shared" si="150"/>
        <v>0</v>
      </c>
      <c r="R145" s="190">
        <f>SUM(F145:H145)</f>
        <v>0</v>
      </c>
      <c r="S145" s="182"/>
      <c r="T145" s="182"/>
      <c r="U145" s="1612"/>
      <c r="V145" s="1612"/>
      <c r="W145" s="1612"/>
      <c r="X145" s="142">
        <f>SUM(I145:O145)-AB145-AC145</f>
        <v>0</v>
      </c>
      <c r="Y145" s="725"/>
      <c r="Z145" s="142"/>
      <c r="AA145" s="725"/>
      <c r="AB145" s="128"/>
      <c r="AC145" s="154"/>
    </row>
    <row r="146" spans="2:29" outlineLevel="1">
      <c r="B146" s="128" t="s">
        <v>7</v>
      </c>
      <c r="C146" s="126" t="s">
        <v>257</v>
      </c>
      <c r="D146" s="128" t="s">
        <v>3</v>
      </c>
      <c r="E146" s="128" t="s">
        <v>0</v>
      </c>
      <c r="F146" s="141"/>
      <c r="G146" s="141"/>
      <c r="H146" s="141"/>
      <c r="I146" s="141"/>
      <c r="J146" s="141"/>
      <c r="K146" s="141"/>
      <c r="L146" s="141"/>
      <c r="M146" s="141"/>
      <c r="N146" s="141"/>
      <c r="O146" s="141"/>
      <c r="P146" s="151">
        <f t="shared" si="150"/>
        <v>0</v>
      </c>
      <c r="R146" s="190">
        <f>SUM(F146:H146)</f>
        <v>0</v>
      </c>
      <c r="S146" s="182"/>
      <c r="T146" s="182"/>
      <c r="U146" s="1612"/>
      <c r="V146" s="1612"/>
      <c r="W146" s="1612"/>
      <c r="X146" s="142">
        <f>SUM(I146:O146)-AB146-AC146</f>
        <v>0</v>
      </c>
      <c r="Y146" s="725"/>
      <c r="Z146" s="142"/>
      <c r="AA146" s="725"/>
      <c r="AB146" s="128"/>
      <c r="AC146" s="154"/>
    </row>
    <row r="147" spans="2:29" outlineLevel="1" collapsed="1">
      <c r="B147" s="138"/>
      <c r="C147" s="136" t="s">
        <v>206</v>
      </c>
      <c r="D147" s="138"/>
      <c r="E147" s="138"/>
      <c r="F147" s="139">
        <f t="shared" ref="F147" si="154">SUM(F148:F150)</f>
        <v>0</v>
      </c>
      <c r="G147" s="139">
        <f t="shared" ref="G147" si="155">SUM(G148:G150)</f>
        <v>0</v>
      </c>
      <c r="H147" s="139">
        <f t="shared" ref="H147" si="156">SUM(H148:H150)</f>
        <v>0</v>
      </c>
      <c r="I147" s="139">
        <f t="shared" ref="I147" si="157">SUM(I148:I150)</f>
        <v>0</v>
      </c>
      <c r="J147" s="139">
        <f t="shared" ref="J147" si="158">SUM(J148:J150)</f>
        <v>0</v>
      </c>
      <c r="K147" s="139">
        <f t="shared" ref="K147" si="159">SUM(K148:K150)</f>
        <v>0</v>
      </c>
      <c r="L147" s="139">
        <f t="shared" ref="L147" si="160">SUM(L148:L150)</f>
        <v>0</v>
      </c>
      <c r="M147" s="139">
        <f t="shared" ref="M147" si="161">SUM(M148:M150)</f>
        <v>0</v>
      </c>
      <c r="N147" s="139">
        <f t="shared" ref="N147" si="162">SUM(N148:N150)</f>
        <v>0</v>
      </c>
      <c r="O147" s="139">
        <f t="shared" ref="O147" si="163">SUM(O148:O150)</f>
        <v>0</v>
      </c>
      <c r="P147" s="140">
        <f t="shared" si="150"/>
        <v>0</v>
      </c>
      <c r="R147" s="126"/>
      <c r="S147" s="127"/>
      <c r="T147" s="127"/>
      <c r="U147" s="1612"/>
      <c r="V147" s="1612"/>
      <c r="W147" s="1612"/>
      <c r="X147" s="128"/>
      <c r="Y147" s="725"/>
      <c r="Z147" s="128"/>
      <c r="AA147" s="725"/>
      <c r="AB147" s="128"/>
      <c r="AC147" s="154"/>
    </row>
    <row r="148" spans="2:29" outlineLevel="1">
      <c r="B148" s="128" t="s">
        <v>7</v>
      </c>
      <c r="C148" s="126" t="s">
        <v>206</v>
      </c>
      <c r="D148" s="128" t="s">
        <v>205</v>
      </c>
      <c r="E148" s="128" t="s">
        <v>0</v>
      </c>
      <c r="F148" s="141"/>
      <c r="G148" s="141"/>
      <c r="H148" s="141"/>
      <c r="I148" s="141"/>
      <c r="J148" s="141"/>
      <c r="K148" s="141"/>
      <c r="L148" s="141"/>
      <c r="M148" s="141"/>
      <c r="N148" s="141"/>
      <c r="O148" s="141"/>
      <c r="P148" s="151">
        <f t="shared" si="150"/>
        <v>0</v>
      </c>
      <c r="R148" s="190">
        <f>SUM(F148:H148)</f>
        <v>0</v>
      </c>
      <c r="S148" s="182"/>
      <c r="T148" s="182"/>
      <c r="U148" s="1612"/>
      <c r="V148" s="1612"/>
      <c r="W148" s="1612"/>
      <c r="X148" s="142">
        <f>SUM(I148:O148)-AB148-AC148</f>
        <v>0</v>
      </c>
      <c r="Y148" s="725"/>
      <c r="Z148" s="142"/>
      <c r="AA148" s="725"/>
      <c r="AB148" s="128"/>
      <c r="AC148" s="154"/>
    </row>
    <row r="149" spans="2:29" outlineLevel="1">
      <c r="B149" s="143" t="s">
        <v>7</v>
      </c>
      <c r="C149" s="126" t="s">
        <v>1</v>
      </c>
      <c r="D149" s="128" t="s">
        <v>358</v>
      </c>
      <c r="E149" s="143" t="s">
        <v>1</v>
      </c>
      <c r="F149" s="141"/>
      <c r="G149" s="141"/>
      <c r="H149" s="141"/>
      <c r="I149" s="141"/>
      <c r="J149" s="141"/>
      <c r="K149" s="141"/>
      <c r="L149" s="141"/>
      <c r="M149" s="141"/>
      <c r="N149" s="141"/>
      <c r="O149" s="141"/>
      <c r="P149" s="151">
        <f t="shared" si="150"/>
        <v>0</v>
      </c>
      <c r="R149" s="190">
        <f>SUM(F149:H149)</f>
        <v>0</v>
      </c>
      <c r="S149" s="182"/>
      <c r="T149" s="182"/>
      <c r="U149" s="1612"/>
      <c r="V149" s="1612"/>
      <c r="W149" s="1612"/>
      <c r="X149" s="142">
        <f>SUM(I149:O149)-AB149-AC149</f>
        <v>0</v>
      </c>
      <c r="Y149" s="725"/>
      <c r="Z149" s="142"/>
      <c r="AA149" s="725"/>
      <c r="AB149" s="128"/>
      <c r="AC149" s="154"/>
    </row>
    <row r="150" spans="2:29" outlineLevel="1">
      <c r="B150" s="143" t="s">
        <v>7</v>
      </c>
      <c r="C150" s="126" t="s">
        <v>207</v>
      </c>
      <c r="D150" s="128" t="s">
        <v>358</v>
      </c>
      <c r="E150" s="143" t="s">
        <v>359</v>
      </c>
      <c r="F150" s="141"/>
      <c r="G150" s="141"/>
      <c r="H150" s="141"/>
      <c r="I150" s="141"/>
      <c r="J150" s="141"/>
      <c r="K150" s="141"/>
      <c r="L150" s="141"/>
      <c r="M150" s="141"/>
      <c r="N150" s="141"/>
      <c r="O150" s="141"/>
      <c r="P150" s="151">
        <f t="shared" si="150"/>
        <v>0</v>
      </c>
      <c r="R150" s="190">
        <f>SUM(F150:H150)</f>
        <v>0</v>
      </c>
      <c r="S150" s="182"/>
      <c r="T150" s="182"/>
      <c r="U150" s="1612"/>
      <c r="V150" s="1612"/>
      <c r="W150" s="1612"/>
      <c r="X150" s="142">
        <f>SUM(I150:O150)-AB150-AC150</f>
        <v>0</v>
      </c>
      <c r="Y150" s="725"/>
      <c r="Z150" s="142"/>
      <c r="AA150" s="725"/>
      <c r="AB150" s="128"/>
      <c r="AC150" s="154"/>
    </row>
    <row r="151" spans="2:29" outlineLevel="1">
      <c r="B151" s="138"/>
      <c r="C151" s="136" t="s">
        <v>360</v>
      </c>
      <c r="D151" s="138"/>
      <c r="E151" s="138"/>
      <c r="F151" s="139" t="e">
        <f t="shared" ref="F151:O151" si="164">SUM(F152:F158)</f>
        <v>#REF!</v>
      </c>
      <c r="G151" s="139">
        <f t="shared" si="164"/>
        <v>0</v>
      </c>
      <c r="H151" s="139">
        <f t="shared" si="164"/>
        <v>0</v>
      </c>
      <c r="I151" s="139">
        <f t="shared" si="164"/>
        <v>0</v>
      </c>
      <c r="J151" s="139">
        <f t="shared" si="164"/>
        <v>0</v>
      </c>
      <c r="K151" s="139">
        <f t="shared" si="164"/>
        <v>0</v>
      </c>
      <c r="L151" s="139">
        <f t="shared" si="164"/>
        <v>0</v>
      </c>
      <c r="M151" s="139">
        <f t="shared" si="164"/>
        <v>0</v>
      </c>
      <c r="N151" s="139">
        <f t="shared" si="164"/>
        <v>0</v>
      </c>
      <c r="O151" s="139">
        <f t="shared" si="164"/>
        <v>0</v>
      </c>
      <c r="P151" s="140" t="e">
        <f t="shared" si="150"/>
        <v>#REF!</v>
      </c>
      <c r="R151" s="126"/>
      <c r="S151" s="127"/>
      <c r="T151" s="127"/>
      <c r="U151" s="1612"/>
      <c r="V151" s="1612"/>
      <c r="W151" s="1612"/>
      <c r="X151" s="128"/>
      <c r="Y151" s="725"/>
      <c r="Z151" s="128"/>
      <c r="AA151" s="725"/>
      <c r="AB151" s="128"/>
      <c r="AC151" s="154"/>
    </row>
    <row r="152" spans="2:29" outlineLevel="1">
      <c r="B152" s="128" t="s">
        <v>7</v>
      </c>
      <c r="C152" s="126" t="s">
        <v>208</v>
      </c>
      <c r="D152" s="128" t="s">
        <v>571</v>
      </c>
      <c r="E152" s="128" t="s">
        <v>0</v>
      </c>
      <c r="F152" s="142" t="e">
        <f>'N_02 Vstupy'!#REF!*1.2</f>
        <v>#REF!</v>
      </c>
      <c r="G152" s="142"/>
      <c r="H152" s="142"/>
      <c r="I152" s="142"/>
      <c r="J152" s="142"/>
      <c r="K152" s="142"/>
      <c r="L152" s="142"/>
      <c r="M152" s="142"/>
      <c r="N152" s="142"/>
      <c r="O152" s="142"/>
      <c r="P152" s="151" t="e">
        <f t="shared" si="150"/>
        <v>#REF!</v>
      </c>
      <c r="R152" s="190" t="e">
        <f>SUM(F152:H152)</f>
        <v>#REF!</v>
      </c>
      <c r="S152" s="182"/>
      <c r="T152" s="182"/>
      <c r="U152" s="1612"/>
      <c r="V152" s="1612"/>
      <c r="W152" s="1612"/>
      <c r="X152" s="142">
        <f>SUM(I152:O152)-AB152-AC152</f>
        <v>0</v>
      </c>
      <c r="Y152" s="725"/>
      <c r="Z152" s="142"/>
      <c r="AA152" s="725"/>
      <c r="AB152" s="128"/>
      <c r="AC152" s="154"/>
    </row>
    <row r="153" spans="2:29" outlineLevel="1">
      <c r="B153" s="128" t="s">
        <v>7</v>
      </c>
      <c r="C153" s="126" t="s">
        <v>208</v>
      </c>
      <c r="D153" s="128" t="s">
        <v>572</v>
      </c>
      <c r="E153" s="128" t="s">
        <v>0</v>
      </c>
      <c r="F153" s="142" t="e">
        <f>'N_02 Vstupy'!#REF!*1.2</f>
        <v>#REF!</v>
      </c>
      <c r="G153" s="142"/>
      <c r="H153" s="142"/>
      <c r="I153" s="142"/>
      <c r="J153" s="142"/>
      <c r="K153" s="142"/>
      <c r="L153" s="142"/>
      <c r="M153" s="142"/>
      <c r="N153" s="142"/>
      <c r="O153" s="142"/>
      <c r="P153" s="151" t="e">
        <f t="shared" si="150"/>
        <v>#REF!</v>
      </c>
      <c r="R153" s="190" t="e">
        <f>SUM(F153:H153)</f>
        <v>#REF!</v>
      </c>
      <c r="S153" s="182"/>
      <c r="T153" s="182"/>
      <c r="U153" s="1612"/>
      <c r="V153" s="1612"/>
      <c r="W153" s="1612"/>
      <c r="X153" s="142">
        <f>SUM(I153:O153)-AB153-AC153</f>
        <v>0</v>
      </c>
      <c r="Y153" s="725"/>
      <c r="Z153" s="142"/>
      <c r="AA153" s="725"/>
      <c r="AB153" s="128"/>
      <c r="AC153" s="154"/>
    </row>
    <row r="154" spans="2:29" outlineLevel="1">
      <c r="B154" s="128" t="s">
        <v>7</v>
      </c>
      <c r="C154" s="126" t="s">
        <v>208</v>
      </c>
      <c r="D154" s="128" t="s">
        <v>573</v>
      </c>
      <c r="E154" s="128" t="s">
        <v>0</v>
      </c>
      <c r="F154" s="142" t="e">
        <f>'N_02 Vstupy'!#REF!*1.2</f>
        <v>#REF!</v>
      </c>
      <c r="G154" s="142"/>
      <c r="H154" s="142"/>
      <c r="I154" s="142"/>
      <c r="J154" s="142"/>
      <c r="K154" s="142"/>
      <c r="L154" s="142"/>
      <c r="M154" s="142"/>
      <c r="N154" s="142"/>
      <c r="O154" s="142"/>
      <c r="P154" s="151"/>
      <c r="R154" s="190"/>
      <c r="S154" s="182"/>
      <c r="T154" s="182"/>
      <c r="U154" s="1612"/>
      <c r="V154" s="1612"/>
      <c r="W154" s="1612"/>
      <c r="X154" s="142"/>
      <c r="Y154" s="725"/>
      <c r="Z154" s="142"/>
      <c r="AA154" s="725"/>
      <c r="AB154" s="128"/>
      <c r="AC154" s="154"/>
    </row>
    <row r="155" spans="2:29" outlineLevel="1">
      <c r="B155" s="128" t="s">
        <v>7</v>
      </c>
      <c r="C155" s="126" t="s">
        <v>208</v>
      </c>
      <c r="D155" s="128" t="s">
        <v>574</v>
      </c>
      <c r="E155" s="128" t="s">
        <v>0</v>
      </c>
      <c r="F155" s="142" t="e">
        <f>'N_02 Vstupy'!#REF!*1.2</f>
        <v>#REF!</v>
      </c>
      <c r="G155" s="142"/>
      <c r="H155" s="142"/>
      <c r="I155" s="142"/>
      <c r="J155" s="142"/>
      <c r="K155" s="142"/>
      <c r="L155" s="142"/>
      <c r="M155" s="142"/>
      <c r="N155" s="142"/>
      <c r="O155" s="142"/>
      <c r="P155" s="151"/>
      <c r="R155" s="190"/>
      <c r="S155" s="182"/>
      <c r="T155" s="182"/>
      <c r="U155" s="1612"/>
      <c r="V155" s="1612"/>
      <c r="W155" s="1612"/>
      <c r="X155" s="142"/>
      <c r="Y155" s="725"/>
      <c r="Z155" s="142"/>
      <c r="AA155" s="725"/>
      <c r="AB155" s="128"/>
      <c r="AC155" s="154"/>
    </row>
    <row r="156" spans="2:29" outlineLevel="1">
      <c r="B156" s="128" t="s">
        <v>7</v>
      </c>
      <c r="C156" s="126" t="s">
        <v>208</v>
      </c>
      <c r="D156" s="128" t="s">
        <v>721</v>
      </c>
      <c r="E156" s="128" t="s">
        <v>0</v>
      </c>
      <c r="F156" s="142" t="e">
        <f>'N_02 Vstupy'!#REF!*1.2</f>
        <v>#REF!</v>
      </c>
      <c r="G156" s="142"/>
      <c r="H156" s="142"/>
      <c r="I156" s="142"/>
      <c r="J156" s="142"/>
      <c r="K156" s="142"/>
      <c r="L156" s="142"/>
      <c r="M156" s="142"/>
      <c r="N156" s="142"/>
      <c r="O156" s="142"/>
      <c r="P156" s="151"/>
      <c r="R156" s="190"/>
      <c r="S156" s="182"/>
      <c r="T156" s="182"/>
      <c r="U156" s="1612"/>
      <c r="V156" s="1612"/>
      <c r="W156" s="1612"/>
      <c r="X156" s="142"/>
      <c r="Y156" s="725"/>
      <c r="Z156" s="142"/>
      <c r="AA156" s="725"/>
      <c r="AB156" s="128"/>
      <c r="AC156" s="154"/>
    </row>
    <row r="157" spans="2:29" outlineLevel="1">
      <c r="B157" s="128" t="s">
        <v>7</v>
      </c>
      <c r="C157" s="126" t="s">
        <v>208</v>
      </c>
      <c r="D157" s="128" t="s">
        <v>913</v>
      </c>
      <c r="E157" s="128" t="s">
        <v>0</v>
      </c>
      <c r="F157" s="142" t="e">
        <f>'N_02 Vstupy'!#REF!*1.2</f>
        <v>#REF!</v>
      </c>
      <c r="G157" s="142"/>
      <c r="H157" s="142"/>
      <c r="I157" s="142"/>
      <c r="J157" s="142"/>
      <c r="K157" s="142"/>
      <c r="L157" s="142"/>
      <c r="M157" s="142"/>
      <c r="N157" s="142"/>
      <c r="O157" s="142"/>
      <c r="P157" s="151" t="e">
        <f t="shared" si="150"/>
        <v>#REF!</v>
      </c>
      <c r="R157" s="190" t="e">
        <f>SUM(F157:H157)</f>
        <v>#REF!</v>
      </c>
      <c r="S157" s="182"/>
      <c r="T157" s="182"/>
      <c r="U157" s="1612"/>
      <c r="V157" s="1612"/>
      <c r="W157" s="1612"/>
      <c r="X157" s="142">
        <f>SUM(I157:O157)-AB157-AC157</f>
        <v>0</v>
      </c>
      <c r="Y157" s="725"/>
      <c r="Z157" s="142"/>
      <c r="AA157" s="725"/>
      <c r="AB157" s="128"/>
      <c r="AC157" s="154"/>
    </row>
    <row r="158" spans="2:29" outlineLevel="1">
      <c r="B158" s="128" t="s">
        <v>7</v>
      </c>
      <c r="C158" s="126" t="s">
        <v>208</v>
      </c>
      <c r="D158" s="128" t="s">
        <v>914</v>
      </c>
      <c r="E158" s="128" t="s">
        <v>0</v>
      </c>
      <c r="F158" s="142" t="e">
        <f>'N_02 Vstupy'!#REF!*1.2</f>
        <v>#REF!</v>
      </c>
      <c r="G158" s="142"/>
      <c r="H158" s="142"/>
      <c r="I158" s="142"/>
      <c r="J158" s="142"/>
      <c r="K158" s="142"/>
      <c r="L158" s="142"/>
      <c r="M158" s="142"/>
      <c r="N158" s="142"/>
      <c r="O158" s="142"/>
      <c r="P158" s="151" t="e">
        <f t="shared" si="150"/>
        <v>#REF!</v>
      </c>
      <c r="R158" s="190" t="e">
        <f>SUM(F158:H158)</f>
        <v>#REF!</v>
      </c>
      <c r="S158" s="182"/>
      <c r="T158" s="182"/>
      <c r="U158" s="1612"/>
      <c r="V158" s="1612"/>
      <c r="W158" s="1612"/>
      <c r="X158" s="142">
        <f>SUM(I158:O158)-AB158-AC158</f>
        <v>0</v>
      </c>
      <c r="Y158" s="725"/>
      <c r="Z158" s="142"/>
      <c r="AA158" s="725"/>
      <c r="AB158" s="128"/>
      <c r="AC158" s="154"/>
    </row>
    <row r="159" spans="2:29" outlineLevel="1">
      <c r="B159" s="138"/>
      <c r="C159" s="136" t="s">
        <v>11</v>
      </c>
      <c r="D159" s="138"/>
      <c r="E159" s="138"/>
      <c r="F159" s="139">
        <f>SUM(F160:F168)</f>
        <v>0</v>
      </c>
      <c r="G159" s="139">
        <f t="shared" ref="G159:O159" si="165">SUM(G160:G168)</f>
        <v>0</v>
      </c>
      <c r="H159" s="139">
        <f t="shared" si="165"/>
        <v>578175</v>
      </c>
      <c r="I159" s="139">
        <f t="shared" si="165"/>
        <v>578175</v>
      </c>
      <c r="J159" s="139">
        <f t="shared" si="165"/>
        <v>578175</v>
      </c>
      <c r="K159" s="139">
        <f t="shared" si="165"/>
        <v>578175</v>
      </c>
      <c r="L159" s="139">
        <f t="shared" si="165"/>
        <v>578175</v>
      </c>
      <c r="M159" s="139">
        <f t="shared" si="165"/>
        <v>578175</v>
      </c>
      <c r="N159" s="139">
        <f t="shared" si="165"/>
        <v>578175</v>
      </c>
      <c r="O159" s="139">
        <f t="shared" si="165"/>
        <v>578175</v>
      </c>
      <c r="P159" s="140">
        <f t="shared" si="150"/>
        <v>4625400</v>
      </c>
      <c r="R159" s="190"/>
      <c r="S159" s="182"/>
      <c r="T159" s="182"/>
      <c r="U159" s="1612"/>
      <c r="V159" s="1612"/>
      <c r="W159" s="1612"/>
      <c r="X159" s="142"/>
      <c r="Y159" s="725"/>
      <c r="Z159" s="142"/>
      <c r="AA159" s="725"/>
      <c r="AB159" s="128"/>
      <c r="AC159" s="154"/>
    </row>
    <row r="160" spans="2:29" outlineLevel="1">
      <c r="B160" s="128" t="s">
        <v>5</v>
      </c>
      <c r="C160" s="126" t="s">
        <v>205</v>
      </c>
      <c r="D160" s="128" t="s">
        <v>258</v>
      </c>
      <c r="E160" s="128" t="s">
        <v>0</v>
      </c>
      <c r="F160" s="141"/>
      <c r="G160" s="141"/>
      <c r="H160" s="141"/>
      <c r="I160" s="141"/>
      <c r="J160" s="141"/>
      <c r="K160" s="141"/>
      <c r="L160" s="141"/>
      <c r="M160" s="141"/>
      <c r="N160" s="141"/>
      <c r="O160" s="141"/>
      <c r="P160" s="151">
        <f t="shared" si="150"/>
        <v>0</v>
      </c>
      <c r="R160" s="190">
        <f t="shared" ref="R160:R168" si="166">SUM(F160:H160)</f>
        <v>0</v>
      </c>
      <c r="S160" s="182"/>
      <c r="T160" s="182"/>
      <c r="U160" s="1612"/>
      <c r="V160" s="1612"/>
      <c r="W160" s="1612"/>
      <c r="X160" s="142">
        <f t="shared" ref="X160:X168" si="167">SUM(I160:O160)</f>
        <v>0</v>
      </c>
      <c r="Y160" s="725"/>
      <c r="Z160" s="142"/>
      <c r="AA160" s="725"/>
      <c r="AB160" s="128"/>
      <c r="AC160" s="154"/>
    </row>
    <row r="161" spans="2:29" outlineLevel="1">
      <c r="B161" s="128" t="s">
        <v>5</v>
      </c>
      <c r="C161" s="126" t="s">
        <v>205</v>
      </c>
      <c r="D161" s="128" t="s">
        <v>259</v>
      </c>
      <c r="E161" s="128" t="s">
        <v>0</v>
      </c>
      <c r="F161" s="141"/>
      <c r="G161" s="141"/>
      <c r="H161" s="141"/>
      <c r="I161" s="141"/>
      <c r="J161" s="141"/>
      <c r="K161" s="141"/>
      <c r="L161" s="141"/>
      <c r="M161" s="141"/>
      <c r="N161" s="141"/>
      <c r="O161" s="141"/>
      <c r="P161" s="151">
        <f t="shared" si="150"/>
        <v>0</v>
      </c>
      <c r="R161" s="190">
        <f t="shared" si="166"/>
        <v>0</v>
      </c>
      <c r="S161" s="182"/>
      <c r="T161" s="182"/>
      <c r="U161" s="1612"/>
      <c r="V161" s="1612"/>
      <c r="W161" s="1612"/>
      <c r="X161" s="142">
        <f t="shared" si="167"/>
        <v>0</v>
      </c>
      <c r="Y161" s="725"/>
      <c r="Z161" s="142"/>
      <c r="AA161" s="725"/>
      <c r="AB161" s="128"/>
      <c r="AC161" s="154"/>
    </row>
    <row r="162" spans="2:29" outlineLevel="1">
      <c r="B162" s="128" t="s">
        <v>5</v>
      </c>
      <c r="C162" s="126" t="s">
        <v>205</v>
      </c>
      <c r="D162" s="128" t="s">
        <v>10</v>
      </c>
      <c r="E162" s="128" t="s">
        <v>0</v>
      </c>
      <c r="F162" s="141"/>
      <c r="G162" s="141"/>
      <c r="H162" s="141"/>
      <c r="I162" s="141"/>
      <c r="J162" s="141"/>
      <c r="K162" s="141"/>
      <c r="L162" s="141"/>
      <c r="M162" s="141"/>
      <c r="N162" s="141"/>
      <c r="O162" s="141"/>
      <c r="P162" s="151">
        <f t="shared" si="150"/>
        <v>0</v>
      </c>
      <c r="R162" s="190">
        <f t="shared" si="166"/>
        <v>0</v>
      </c>
      <c r="S162" s="182"/>
      <c r="T162" s="182"/>
      <c r="U162" s="1612"/>
      <c r="V162" s="1612"/>
      <c r="W162" s="1612"/>
      <c r="X162" s="142">
        <f t="shared" si="167"/>
        <v>0</v>
      </c>
      <c r="Y162" s="725"/>
      <c r="Z162" s="142"/>
      <c r="AA162" s="725"/>
      <c r="AB162" s="128"/>
      <c r="AC162" s="154"/>
    </row>
    <row r="163" spans="2:29" outlineLevel="1">
      <c r="B163" s="128" t="s">
        <v>5</v>
      </c>
      <c r="C163" s="126" t="s">
        <v>197</v>
      </c>
      <c r="D163" s="128" t="s">
        <v>258</v>
      </c>
      <c r="E163" s="128" t="s">
        <v>0</v>
      </c>
      <c r="F163" s="141"/>
      <c r="G163" s="141"/>
      <c r="H163" s="141"/>
      <c r="I163" s="141"/>
      <c r="J163" s="141"/>
      <c r="K163" s="141"/>
      <c r="L163" s="141"/>
      <c r="M163" s="141"/>
      <c r="N163" s="141"/>
      <c r="O163" s="141"/>
      <c r="P163" s="151">
        <f t="shared" si="150"/>
        <v>0</v>
      </c>
      <c r="R163" s="190">
        <f t="shared" si="166"/>
        <v>0</v>
      </c>
      <c r="S163" s="182"/>
      <c r="T163" s="182"/>
      <c r="U163" s="1612"/>
      <c r="V163" s="1612"/>
      <c r="W163" s="1612"/>
      <c r="X163" s="142">
        <f t="shared" si="167"/>
        <v>0</v>
      </c>
      <c r="Y163" s="725"/>
      <c r="Z163" s="142"/>
      <c r="AA163" s="725"/>
      <c r="AB163" s="128"/>
      <c r="AC163" s="154"/>
    </row>
    <row r="164" spans="2:29" outlineLevel="1">
      <c r="B164" s="128" t="s">
        <v>5</v>
      </c>
      <c r="C164" s="126" t="s">
        <v>197</v>
      </c>
      <c r="D164" s="128" t="s">
        <v>259</v>
      </c>
      <c r="E164" s="128" t="s">
        <v>0</v>
      </c>
      <c r="F164" s="141"/>
      <c r="G164" s="141"/>
      <c r="H164" s="141"/>
      <c r="I164" s="141"/>
      <c r="J164" s="141"/>
      <c r="K164" s="141"/>
      <c r="L164" s="141"/>
      <c r="M164" s="141"/>
      <c r="N164" s="141"/>
      <c r="O164" s="141"/>
      <c r="P164" s="151">
        <f t="shared" si="150"/>
        <v>0</v>
      </c>
      <c r="R164" s="190">
        <f t="shared" si="166"/>
        <v>0</v>
      </c>
      <c r="S164" s="182"/>
      <c r="T164" s="182"/>
      <c r="U164" s="1612"/>
      <c r="V164" s="1612"/>
      <c r="W164" s="1612"/>
      <c r="X164" s="142">
        <f t="shared" si="167"/>
        <v>0</v>
      </c>
      <c r="Y164" s="725"/>
      <c r="Z164" s="142"/>
      <c r="AA164" s="725"/>
      <c r="AB164" s="128"/>
      <c r="AC164" s="154"/>
    </row>
    <row r="165" spans="2:29" outlineLevel="1">
      <c r="B165" s="128" t="s">
        <v>5</v>
      </c>
      <c r="C165" s="126" t="s">
        <v>8</v>
      </c>
      <c r="D165" s="128" t="s">
        <v>258</v>
      </c>
      <c r="E165" s="128" t="s">
        <v>0</v>
      </c>
      <c r="F165" s="141"/>
      <c r="G165" s="141"/>
      <c r="H165" s="141"/>
      <c r="I165" s="141"/>
      <c r="J165" s="141"/>
      <c r="K165" s="141"/>
      <c r="L165" s="141"/>
      <c r="M165" s="141"/>
      <c r="N165" s="141"/>
      <c r="O165" s="141"/>
      <c r="P165" s="151">
        <f t="shared" si="150"/>
        <v>0</v>
      </c>
      <c r="R165" s="190">
        <f t="shared" si="166"/>
        <v>0</v>
      </c>
      <c r="S165" s="182"/>
      <c r="T165" s="182"/>
      <c r="U165" s="1612"/>
      <c r="V165" s="1612"/>
      <c r="W165" s="1612"/>
      <c r="X165" s="142">
        <f t="shared" si="167"/>
        <v>0</v>
      </c>
      <c r="Y165" s="725"/>
      <c r="Z165" s="142"/>
      <c r="AA165" s="725"/>
      <c r="AB165" s="128"/>
      <c r="AC165" s="154"/>
    </row>
    <row r="166" spans="2:29" outlineLevel="1">
      <c r="B166" s="128" t="s">
        <v>5</v>
      </c>
      <c r="C166" s="126" t="s">
        <v>8</v>
      </c>
      <c r="D166" s="128" t="s">
        <v>259</v>
      </c>
      <c r="E166" s="128" t="s">
        <v>0</v>
      </c>
      <c r="F166" s="141"/>
      <c r="G166" s="141"/>
      <c r="H166" s="141"/>
      <c r="I166" s="141"/>
      <c r="J166" s="141"/>
      <c r="K166" s="141"/>
      <c r="L166" s="141"/>
      <c r="M166" s="141"/>
      <c r="N166" s="141"/>
      <c r="O166" s="141"/>
      <c r="P166" s="151">
        <f t="shared" si="150"/>
        <v>0</v>
      </c>
      <c r="R166" s="190">
        <f t="shared" si="166"/>
        <v>0</v>
      </c>
      <c r="S166" s="182"/>
      <c r="T166" s="182"/>
      <c r="U166" s="1612"/>
      <c r="V166" s="1612"/>
      <c r="W166" s="1612"/>
      <c r="X166" s="142">
        <f t="shared" si="167"/>
        <v>0</v>
      </c>
      <c r="Y166" s="725"/>
      <c r="Z166" s="142"/>
      <c r="AA166" s="725"/>
      <c r="AB166" s="128"/>
      <c r="AC166" s="154"/>
    </row>
    <row r="167" spans="2:29" outlineLevel="1">
      <c r="B167" s="128" t="s">
        <v>5</v>
      </c>
      <c r="C167" s="126" t="s">
        <v>208</v>
      </c>
      <c r="D167" s="128" t="s">
        <v>263</v>
      </c>
      <c r="E167" s="128" t="s">
        <v>0</v>
      </c>
      <c r="F167" s="141"/>
      <c r="G167" s="141"/>
      <c r="H167" s="141"/>
      <c r="I167" s="141"/>
      <c r="J167" s="141"/>
      <c r="K167" s="141"/>
      <c r="L167" s="141"/>
      <c r="M167" s="141"/>
      <c r="N167" s="141"/>
      <c r="O167" s="141"/>
      <c r="P167" s="151">
        <f t="shared" si="150"/>
        <v>0</v>
      </c>
      <c r="R167" s="190">
        <f t="shared" si="166"/>
        <v>0</v>
      </c>
      <c r="S167" s="182"/>
      <c r="T167" s="182"/>
      <c r="U167" s="1612"/>
      <c r="V167" s="1612"/>
      <c r="W167" s="1612"/>
      <c r="X167" s="142">
        <f t="shared" si="167"/>
        <v>0</v>
      </c>
      <c r="Y167" s="725"/>
      <c r="Z167" s="142"/>
      <c r="AA167" s="725"/>
      <c r="AB167" s="128"/>
      <c r="AC167" s="154"/>
    </row>
    <row r="168" spans="2:29" outlineLevel="1">
      <c r="B168" s="128" t="s">
        <v>5</v>
      </c>
      <c r="C168" s="126" t="s">
        <v>205</v>
      </c>
      <c r="D168" s="128" t="s">
        <v>402</v>
      </c>
      <c r="E168" s="128" t="s">
        <v>0</v>
      </c>
      <c r="F168" s="142">
        <f>'N_02 Vstupy'!$C$68</f>
        <v>0</v>
      </c>
      <c r="G168" s="142">
        <f>'N_02 Vstupy'!$D$68</f>
        <v>0</v>
      </c>
      <c r="H168" s="142">
        <f>'N_02 Vstupy'!E$68</f>
        <v>578175</v>
      </c>
      <c r="I168" s="142">
        <f>'N_02 Vstupy'!$F$68</f>
        <v>578175</v>
      </c>
      <c r="J168" s="142">
        <f>'N_02 Vstupy'!$G$68</f>
        <v>578175</v>
      </c>
      <c r="K168" s="142">
        <f>'N_02 Vstupy'!$H$68</f>
        <v>578175</v>
      </c>
      <c r="L168" s="142">
        <f>'N_02 Vstupy'!$I$68</f>
        <v>578175</v>
      </c>
      <c r="M168" s="142">
        <f>'N_02 Vstupy'!$J$68</f>
        <v>578175</v>
      </c>
      <c r="N168" s="142">
        <f>'N_02 Vstupy'!$K$68</f>
        <v>578175</v>
      </c>
      <c r="O168" s="142">
        <f>'N_02 Vstupy'!$L$68</f>
        <v>578175</v>
      </c>
      <c r="P168" s="140">
        <f t="shared" si="150"/>
        <v>4625400</v>
      </c>
      <c r="R168" s="190">
        <f t="shared" si="166"/>
        <v>578175</v>
      </c>
      <c r="S168" s="182"/>
      <c r="T168" s="182"/>
      <c r="U168" s="1612"/>
      <c r="V168" s="1612"/>
      <c r="W168" s="1612"/>
      <c r="X168" s="142">
        <f t="shared" si="167"/>
        <v>4047225</v>
      </c>
      <c r="Y168" s="725"/>
      <c r="Z168" s="142"/>
      <c r="AA168" s="725"/>
      <c r="AB168" s="128"/>
      <c r="AC168" s="154"/>
    </row>
    <row r="169" spans="2:29" outlineLevel="1">
      <c r="B169" s="138"/>
      <c r="C169" s="136" t="s">
        <v>407</v>
      </c>
      <c r="D169" s="138"/>
      <c r="E169" s="138"/>
      <c r="F169" s="139">
        <f t="shared" ref="F169" si="168">SUM(F170:F170)</f>
        <v>0</v>
      </c>
      <c r="G169" s="139">
        <f t="shared" ref="G169" si="169">SUM(G170:G170)</f>
        <v>0</v>
      </c>
      <c r="H169" s="139">
        <f t="shared" ref="H169" si="170">SUM(H170:H170)</f>
        <v>60000</v>
      </c>
      <c r="I169" s="139">
        <f t="shared" ref="I169" si="171">SUM(I170:I170)</f>
        <v>0</v>
      </c>
      <c r="J169" s="139">
        <f t="shared" ref="J169" si="172">SUM(J170:J170)</f>
        <v>0</v>
      </c>
      <c r="K169" s="139">
        <f t="shared" ref="K169" si="173">SUM(K170:K170)</f>
        <v>0</v>
      </c>
      <c r="L169" s="139">
        <f t="shared" ref="L169" si="174">SUM(L170:L170)</f>
        <v>0</v>
      </c>
      <c r="M169" s="139">
        <f t="shared" ref="M169" si="175">SUM(M170:M170)</f>
        <v>0</v>
      </c>
      <c r="N169" s="139">
        <f t="shared" ref="N169" si="176">SUM(N170:N170)</f>
        <v>0</v>
      </c>
      <c r="O169" s="139">
        <f t="shared" ref="O169" si="177">SUM(O170:O170)</f>
        <v>0</v>
      </c>
      <c r="P169" s="151">
        <f t="shared" si="150"/>
        <v>60000</v>
      </c>
      <c r="R169" s="190"/>
      <c r="S169" s="182"/>
      <c r="T169" s="182"/>
      <c r="U169" s="1612"/>
      <c r="V169" s="1612"/>
      <c r="W169" s="1612"/>
      <c r="X169" s="142"/>
      <c r="Y169" s="725"/>
      <c r="Z169" s="142"/>
      <c r="AA169" s="725"/>
      <c r="AB169" s="128"/>
      <c r="AC169" s="154"/>
    </row>
    <row r="170" spans="2:29" outlineLevel="1">
      <c r="B170" s="128" t="s">
        <v>5</v>
      </c>
      <c r="C170" s="126" t="s">
        <v>407</v>
      </c>
      <c r="D170" s="128" t="s">
        <v>407</v>
      </c>
      <c r="E170" s="128" t="s">
        <v>0</v>
      </c>
      <c r="F170" s="142"/>
      <c r="G170" s="141"/>
      <c r="H170" s="141">
        <f>'N_02 Vstupy'!$E$110*1.2</f>
        <v>60000</v>
      </c>
      <c r="I170" s="141"/>
      <c r="J170" s="141"/>
      <c r="K170" s="141"/>
      <c r="L170" s="141"/>
      <c r="M170" s="141"/>
      <c r="N170" s="141"/>
      <c r="O170" s="141"/>
      <c r="P170" s="151">
        <f t="shared" si="150"/>
        <v>60000</v>
      </c>
      <c r="R170" s="190">
        <f>SUM(F170:H170)</f>
        <v>60000</v>
      </c>
      <c r="S170" s="182"/>
      <c r="T170" s="182"/>
      <c r="U170" s="1612"/>
      <c r="V170" s="1612"/>
      <c r="W170" s="1612"/>
      <c r="X170" s="142">
        <f>SUM(I170:O170)</f>
        <v>0</v>
      </c>
      <c r="Y170" s="725"/>
      <c r="Z170" s="142"/>
      <c r="AA170" s="725"/>
      <c r="AB170" s="128"/>
      <c r="AC170" s="154"/>
    </row>
    <row r="171" spans="2:29" outlineLevel="1">
      <c r="B171" s="138"/>
      <c r="C171" s="136" t="s">
        <v>209</v>
      </c>
      <c r="D171" s="138"/>
      <c r="E171" s="138"/>
      <c r="F171" s="139">
        <f t="shared" ref="F171:I171" si="178">SUM(F172:F174)</f>
        <v>564624</v>
      </c>
      <c r="G171" s="139">
        <f t="shared" si="178"/>
        <v>1129248</v>
      </c>
      <c r="H171" s="139">
        <f t="shared" si="178"/>
        <v>1129248</v>
      </c>
      <c r="I171" s="139">
        <f t="shared" si="178"/>
        <v>92352</v>
      </c>
      <c r="J171" s="139">
        <f>SUM(J172:J174)</f>
        <v>92352</v>
      </c>
      <c r="K171" s="139">
        <f t="shared" ref="K171:O171" si="179">SUM(K172:K174)</f>
        <v>46176</v>
      </c>
      <c r="L171" s="139">
        <f t="shared" si="179"/>
        <v>46176</v>
      </c>
      <c r="M171" s="139">
        <f t="shared" si="179"/>
        <v>46176</v>
      </c>
      <c r="N171" s="139">
        <f t="shared" si="179"/>
        <v>46176</v>
      </c>
      <c r="O171" s="139">
        <f t="shared" si="179"/>
        <v>46176</v>
      </c>
      <c r="P171" s="140">
        <f t="shared" si="150"/>
        <v>3238704</v>
      </c>
      <c r="R171" s="126"/>
      <c r="S171" s="127"/>
      <c r="T171" s="127"/>
      <c r="U171" s="1612"/>
      <c r="V171" s="1612"/>
      <c r="W171" s="1612"/>
      <c r="X171" s="128"/>
      <c r="Y171" s="725"/>
      <c r="Z171" s="128"/>
      <c r="AA171" s="725"/>
      <c r="AB171" s="128"/>
      <c r="AC171" s="154"/>
    </row>
    <row r="172" spans="2:29" outlineLevel="1">
      <c r="B172" s="128" t="s">
        <v>5</v>
      </c>
      <c r="C172" s="126" t="s">
        <v>209</v>
      </c>
      <c r="D172" s="128" t="s">
        <v>210</v>
      </c>
      <c r="E172" s="128" t="s">
        <v>0</v>
      </c>
      <c r="F172" s="142">
        <f>'N_02 Vstupy'!$C$54</f>
        <v>69264</v>
      </c>
      <c r="G172" s="142">
        <f>'N_02 Vstupy'!$D$54</f>
        <v>138528</v>
      </c>
      <c r="H172" s="142">
        <f>'N_02 Vstupy'!$E$54</f>
        <v>138528</v>
      </c>
      <c r="I172" s="142">
        <f>'N_02 Vstupy'!$F$54</f>
        <v>92352</v>
      </c>
      <c r="J172" s="142">
        <f>'N_02 Vstupy'!$G$54</f>
        <v>92352</v>
      </c>
      <c r="K172" s="142">
        <f>'N_02 Vstupy'!$H$54</f>
        <v>46176</v>
      </c>
      <c r="L172" s="142">
        <f>'N_02 Vstupy'!$I$54</f>
        <v>46176</v>
      </c>
      <c r="M172" s="142">
        <f>'N_02 Vstupy'!$J$54</f>
        <v>46176</v>
      </c>
      <c r="N172" s="142">
        <f>'N_02 Vstupy'!$K$54</f>
        <v>46176</v>
      </c>
      <c r="O172" s="142">
        <f>'N_02 Vstupy'!$L$54</f>
        <v>46176</v>
      </c>
      <c r="P172" s="151">
        <f t="shared" si="150"/>
        <v>761904</v>
      </c>
      <c r="R172" s="190">
        <f>SUM(F172:H172)</f>
        <v>346320</v>
      </c>
      <c r="S172" s="182"/>
      <c r="T172" s="182"/>
      <c r="U172" s="1612"/>
      <c r="V172" s="1612"/>
      <c r="W172" s="1612"/>
      <c r="X172" s="142">
        <f>SUM(I172:O172)</f>
        <v>415584</v>
      </c>
      <c r="Y172" s="725"/>
      <c r="Z172" s="142"/>
      <c r="AA172" s="725"/>
      <c r="AB172" s="128"/>
      <c r="AC172" s="154"/>
    </row>
    <row r="173" spans="2:29" outlineLevel="1">
      <c r="B173" s="147" t="s">
        <v>5</v>
      </c>
      <c r="C173" s="146" t="s">
        <v>209</v>
      </c>
      <c r="D173" s="147" t="s">
        <v>211</v>
      </c>
      <c r="E173" s="147" t="s">
        <v>0</v>
      </c>
      <c r="F173" s="148">
        <f>'N_02 Vstupy'!$D$102</f>
        <v>495360</v>
      </c>
      <c r="G173" s="148">
        <f>'N_02 Vstupy'!$F$102</f>
        <v>990720</v>
      </c>
      <c r="H173" s="148">
        <f>'N_02 Vstupy'!$H$102</f>
        <v>990720</v>
      </c>
      <c r="I173" s="148">
        <f>'N_02 Vstupy'!$J$102</f>
        <v>0</v>
      </c>
      <c r="J173" s="148"/>
      <c r="K173" s="148"/>
      <c r="L173" s="148"/>
      <c r="M173" s="148"/>
      <c r="N173" s="148"/>
      <c r="O173" s="148"/>
      <c r="P173" s="152">
        <f t="shared" si="150"/>
        <v>2476800</v>
      </c>
      <c r="R173" s="190">
        <f>SUM(F173:H173)</f>
        <v>2476800</v>
      </c>
      <c r="S173" s="182"/>
      <c r="T173" s="182"/>
      <c r="U173" s="1612"/>
      <c r="V173" s="1612"/>
      <c r="W173" s="1612"/>
      <c r="X173" s="142">
        <f>SUM(I173:O173)</f>
        <v>0</v>
      </c>
      <c r="Y173" s="725"/>
      <c r="Z173" s="142"/>
      <c r="AA173" s="725"/>
      <c r="AB173" s="128"/>
      <c r="AC173" s="154"/>
    </row>
    <row r="174" spans="2:29" outlineLevel="1">
      <c r="B174" s="144" t="s">
        <v>5</v>
      </c>
      <c r="C174" s="123" t="s">
        <v>209</v>
      </c>
      <c r="D174" s="144" t="s">
        <v>408</v>
      </c>
      <c r="E174" s="144" t="s">
        <v>0</v>
      </c>
      <c r="F174" s="145"/>
      <c r="G174" s="145"/>
      <c r="H174" s="145"/>
      <c r="I174" s="145"/>
      <c r="J174" s="145"/>
      <c r="K174" s="145"/>
      <c r="L174" s="145"/>
      <c r="M174" s="145"/>
      <c r="N174" s="145"/>
      <c r="O174" s="145"/>
      <c r="P174" s="153">
        <f t="shared" si="150"/>
        <v>0</v>
      </c>
      <c r="R174" s="197">
        <f>SUM(F174,G174,H174/2)</f>
        <v>0</v>
      </c>
      <c r="S174" s="183"/>
      <c r="T174" s="183"/>
      <c r="U174" s="1613"/>
      <c r="V174" s="1613"/>
      <c r="W174" s="1613"/>
      <c r="X174" s="181">
        <f>SUM(H174/2,I174:O174)</f>
        <v>0</v>
      </c>
      <c r="Y174" s="1622"/>
      <c r="Z174" s="181"/>
      <c r="AA174" s="1622"/>
      <c r="AB174" s="144"/>
      <c r="AC174" s="155"/>
    </row>
    <row r="175" spans="2:29" outlineLevel="1">
      <c r="F175" s="949"/>
      <c r="G175" s="949"/>
      <c r="H175" s="949"/>
      <c r="I175" s="949"/>
      <c r="J175" s="949"/>
      <c r="K175" s="949"/>
      <c r="L175" s="949"/>
      <c r="M175" s="949"/>
      <c r="N175" s="949"/>
      <c r="O175" s="949"/>
      <c r="P175" s="950"/>
      <c r="R175" s="46"/>
      <c r="S175" s="46"/>
      <c r="T175" s="46"/>
      <c r="X175" s="46"/>
      <c r="Z175" s="46"/>
    </row>
    <row r="176" spans="2:29">
      <c r="R176" s="46"/>
      <c r="S176" s="46"/>
      <c r="T176" s="46"/>
      <c r="X176" s="46"/>
      <c r="Z176" s="46"/>
    </row>
    <row r="177" spans="2:29">
      <c r="B177" s="135"/>
      <c r="C177" s="134" t="s">
        <v>682</v>
      </c>
      <c r="D177" s="135"/>
      <c r="E177" s="135"/>
      <c r="F177" s="149" t="e">
        <f t="shared" ref="F177:O177" si="180">SUM(F216,F214,F204,F196,F192,F188,F184,F178)</f>
        <v>#REF!</v>
      </c>
      <c r="G177" s="149" t="e">
        <f t="shared" si="180"/>
        <v>#REF!</v>
      </c>
      <c r="H177" s="149">
        <f t="shared" si="180"/>
        <v>2084554.95</v>
      </c>
      <c r="I177" s="149">
        <f t="shared" si="180"/>
        <v>670527</v>
      </c>
      <c r="J177" s="149">
        <f t="shared" si="180"/>
        <v>670527</v>
      </c>
      <c r="K177" s="149">
        <f t="shared" si="180"/>
        <v>624351</v>
      </c>
      <c r="L177" s="149">
        <f t="shared" si="180"/>
        <v>624351</v>
      </c>
      <c r="M177" s="149">
        <f t="shared" si="180"/>
        <v>624351</v>
      </c>
      <c r="N177" s="149">
        <f t="shared" si="180"/>
        <v>624351</v>
      </c>
      <c r="O177" s="149">
        <f t="shared" si="180"/>
        <v>624351</v>
      </c>
      <c r="P177" s="150" t="e">
        <f t="shared" ref="P177:P219" si="181">SUM(F177:O177)</f>
        <v>#REF!</v>
      </c>
      <c r="R177" s="194" t="e">
        <f>SUM(R178:R219)</f>
        <v>#REF!</v>
      </c>
      <c r="S177" s="1780"/>
      <c r="T177" s="1780"/>
      <c r="U177" s="1610"/>
      <c r="V177" s="1610"/>
      <c r="W177" s="1610"/>
      <c r="X177" s="195">
        <f>SUM(X178:X219)</f>
        <v>9490242</v>
      </c>
      <c r="Y177" s="1620"/>
      <c r="Z177" s="195"/>
      <c r="AA177" s="1620"/>
      <c r="AB177" s="195">
        <f>SUM(AB178:AB219)</f>
        <v>0</v>
      </c>
      <c r="AC177" s="196">
        <f>SUM(AC178:AC219)</f>
        <v>0</v>
      </c>
    </row>
    <row r="178" spans="2:29" customFormat="1" ht="15" outlineLevel="1">
      <c r="B178" s="138"/>
      <c r="C178" s="136" t="s">
        <v>205</v>
      </c>
      <c r="D178" s="137"/>
      <c r="E178" s="138"/>
      <c r="F178" s="139">
        <f>SUM(F179:F183)</f>
        <v>300165.45</v>
      </c>
      <c r="G178" s="139" t="e">
        <f t="shared" ref="G178:O178" si="182">SUM(G179:G183)</f>
        <v>#REF!</v>
      </c>
      <c r="H178" s="139">
        <f t="shared" si="182"/>
        <v>377131.95</v>
      </c>
      <c r="I178" s="139">
        <f t="shared" si="182"/>
        <v>0</v>
      </c>
      <c r="J178" s="139">
        <f t="shared" si="182"/>
        <v>0</v>
      </c>
      <c r="K178" s="139">
        <f t="shared" si="182"/>
        <v>0</v>
      </c>
      <c r="L178" s="139">
        <f t="shared" si="182"/>
        <v>0</v>
      </c>
      <c r="M178" s="139">
        <f t="shared" si="182"/>
        <v>0</v>
      </c>
      <c r="N178" s="139">
        <f t="shared" si="182"/>
        <v>0</v>
      </c>
      <c r="O178" s="139">
        <f t="shared" si="182"/>
        <v>0</v>
      </c>
      <c r="P178" s="140" t="e">
        <f t="shared" si="181"/>
        <v>#REF!</v>
      </c>
      <c r="R178" s="191"/>
      <c r="S178" s="1781"/>
      <c r="T178" s="1781"/>
      <c r="U178" s="1611"/>
      <c r="V178" s="1611"/>
      <c r="W178" s="1611"/>
      <c r="X178" s="192"/>
      <c r="Y178" s="1621"/>
      <c r="Z178" s="192"/>
      <c r="AA178" s="1621"/>
      <c r="AB178" s="192"/>
      <c r="AC178" s="193"/>
    </row>
    <row r="179" spans="2:29" outlineLevel="1">
      <c r="B179" s="128" t="s">
        <v>7</v>
      </c>
      <c r="C179" s="126" t="s">
        <v>205</v>
      </c>
      <c r="D179" s="128" t="s">
        <v>198</v>
      </c>
      <c r="E179" s="128" t="s">
        <v>0</v>
      </c>
      <c r="F179" s="141"/>
      <c r="G179" s="141"/>
      <c r="H179" s="141"/>
      <c r="I179" s="141"/>
      <c r="J179" s="141"/>
      <c r="K179" s="141"/>
      <c r="L179" s="141"/>
      <c r="M179" s="141"/>
      <c r="N179" s="141"/>
      <c r="O179" s="141"/>
      <c r="P179" s="151">
        <f t="shared" si="181"/>
        <v>0</v>
      </c>
      <c r="R179" s="190">
        <f>SUM(F179:H179)</f>
        <v>0</v>
      </c>
      <c r="S179" s="182"/>
      <c r="T179" s="182"/>
      <c r="U179" s="1612"/>
      <c r="V179" s="1612"/>
      <c r="W179" s="1612"/>
      <c r="X179" s="142">
        <f>SUM(I179:O179)-AB179-AC179</f>
        <v>0</v>
      </c>
      <c r="Y179" s="725"/>
      <c r="Z179" s="142"/>
      <c r="AA179" s="725"/>
      <c r="AB179" s="128"/>
      <c r="AC179" s="154"/>
    </row>
    <row r="180" spans="2:29" outlineLevel="1">
      <c r="B180" s="128" t="s">
        <v>7</v>
      </c>
      <c r="C180" s="126" t="s">
        <v>205</v>
      </c>
      <c r="D180" s="128" t="s">
        <v>199</v>
      </c>
      <c r="E180" s="128" t="s">
        <v>0</v>
      </c>
      <c r="F180" s="141"/>
      <c r="G180" s="141"/>
      <c r="H180" s="141"/>
      <c r="I180" s="141"/>
      <c r="J180" s="141"/>
      <c r="K180" s="141"/>
      <c r="L180" s="141"/>
      <c r="M180" s="141"/>
      <c r="N180" s="141"/>
      <c r="O180" s="141"/>
      <c r="P180" s="151">
        <f t="shared" si="181"/>
        <v>0</v>
      </c>
      <c r="R180" s="190">
        <f>SUM(F180:H180)</f>
        <v>0</v>
      </c>
      <c r="S180" s="182"/>
      <c r="T180" s="182"/>
      <c r="U180" s="1612"/>
      <c r="V180" s="1612"/>
      <c r="W180" s="1612"/>
      <c r="X180" s="142">
        <f>SUM(I180:O180)-AB180-AC180</f>
        <v>0</v>
      </c>
      <c r="Y180" s="725"/>
      <c r="Z180" s="142"/>
      <c r="AA180" s="725"/>
      <c r="AB180" s="128"/>
      <c r="AC180" s="154"/>
    </row>
    <row r="181" spans="2:29" outlineLevel="1">
      <c r="B181" s="128" t="s">
        <v>7</v>
      </c>
      <c r="C181" s="126" t="s">
        <v>205</v>
      </c>
      <c r="D181" s="128" t="s">
        <v>3</v>
      </c>
      <c r="E181" s="128" t="s">
        <v>0</v>
      </c>
      <c r="F181" s="141"/>
      <c r="G181" s="141" t="e">
        <f>'N_03 Prieskum BO'!#REF!</f>
        <v>#REF!</v>
      </c>
      <c r="H181" s="141"/>
      <c r="I181" s="141"/>
      <c r="J181" s="141"/>
      <c r="K181" s="141"/>
      <c r="L181" s="141"/>
      <c r="M181" s="141"/>
      <c r="N181" s="141"/>
      <c r="O181" s="141"/>
      <c r="P181" s="151" t="e">
        <f t="shared" si="181"/>
        <v>#REF!</v>
      </c>
      <c r="R181" s="190" t="e">
        <f>SUM(F181:H181)</f>
        <v>#REF!</v>
      </c>
      <c r="S181" s="182"/>
      <c r="T181" s="182"/>
      <c r="U181" s="1612"/>
      <c r="V181" s="1612"/>
      <c r="W181" s="1612"/>
      <c r="X181" s="142">
        <f>SUM(I181:O181)-AB181-AC181</f>
        <v>0</v>
      </c>
      <c r="Y181" s="725"/>
      <c r="Z181" s="142"/>
      <c r="AA181" s="725"/>
      <c r="AB181" s="128"/>
      <c r="AC181" s="154"/>
    </row>
    <row r="182" spans="2:29" outlineLevel="1">
      <c r="B182" s="128" t="s">
        <v>7</v>
      </c>
      <c r="C182" s="126" t="s">
        <v>205</v>
      </c>
      <c r="D182" s="128" t="s">
        <v>256</v>
      </c>
      <c r="E182" s="128" t="s">
        <v>0</v>
      </c>
      <c r="F182" s="141"/>
      <c r="G182" s="141"/>
      <c r="H182" s="141"/>
      <c r="I182" s="141"/>
      <c r="J182" s="141"/>
      <c r="K182" s="141"/>
      <c r="L182" s="141"/>
      <c r="M182" s="141"/>
      <c r="N182" s="141"/>
      <c r="O182" s="141"/>
      <c r="P182" s="151">
        <f t="shared" si="181"/>
        <v>0</v>
      </c>
      <c r="R182" s="190">
        <f>SUM(F182:H182)</f>
        <v>0</v>
      </c>
      <c r="S182" s="182"/>
      <c r="T182" s="182"/>
      <c r="U182" s="1612"/>
      <c r="V182" s="1612"/>
      <c r="W182" s="1612"/>
      <c r="X182" s="142">
        <f>SUM(I182:O182)-AB182-AC182</f>
        <v>0</v>
      </c>
      <c r="Y182" s="725"/>
      <c r="Z182" s="142"/>
      <c r="AA182" s="725"/>
      <c r="AB182" s="128"/>
      <c r="AC182" s="154"/>
    </row>
    <row r="183" spans="2:29" outlineLevel="1">
      <c r="B183" s="128" t="s">
        <v>5</v>
      </c>
      <c r="C183" s="126" t="s">
        <v>205</v>
      </c>
      <c r="D183" s="128" t="s">
        <v>404</v>
      </c>
      <c r="E183" s="128" t="s">
        <v>0</v>
      </c>
      <c r="F183" s="142">
        <f>'N_02 Vstupy'!$C$58</f>
        <v>300165.45</v>
      </c>
      <c r="G183" s="142">
        <f>'N_02 Vstupy'!$D$58</f>
        <v>731173.95</v>
      </c>
      <c r="H183" s="142">
        <f>'N_02 Vstupy'!$E$58</f>
        <v>377131.95</v>
      </c>
      <c r="I183" s="142">
        <f>'N_02 Vstupy'!$F$58</f>
        <v>0</v>
      </c>
      <c r="J183" s="142">
        <f>'N_02 Vstupy'!$G$58</f>
        <v>0</v>
      </c>
      <c r="K183" s="142">
        <f>'N_02 Vstupy'!$H$58</f>
        <v>0</v>
      </c>
      <c r="L183" s="142">
        <f>'N_02 Vstupy'!$I$58</f>
        <v>0</v>
      </c>
      <c r="M183" s="142">
        <f>'N_02 Vstupy'!$J$58</f>
        <v>0</v>
      </c>
      <c r="N183" s="142">
        <f>'N_02 Vstupy'!$K$58</f>
        <v>0</v>
      </c>
      <c r="O183" s="142">
        <f>'N_02 Vstupy'!$L$58</f>
        <v>0</v>
      </c>
      <c r="P183" s="151">
        <f t="shared" si="181"/>
        <v>1408471.3499999999</v>
      </c>
      <c r="R183" s="190">
        <f>SUM(F183:H183)</f>
        <v>1408471.3499999999</v>
      </c>
      <c r="S183" s="182"/>
      <c r="T183" s="182"/>
      <c r="U183" s="1612"/>
      <c r="V183" s="1612"/>
      <c r="W183" s="1612"/>
      <c r="X183" s="142">
        <f>SUM(I183:O183)-AB183-AC183</f>
        <v>0</v>
      </c>
      <c r="Y183" s="725"/>
      <c r="Z183" s="142"/>
      <c r="AA183" s="725"/>
      <c r="AB183" s="128"/>
      <c r="AC183" s="154"/>
    </row>
    <row r="184" spans="2:29" outlineLevel="1" collapsed="1">
      <c r="B184" s="138"/>
      <c r="C184" s="136" t="s">
        <v>197</v>
      </c>
      <c r="D184" s="137"/>
      <c r="E184" s="138" t="s">
        <v>0</v>
      </c>
      <c r="F184" s="139">
        <f t="shared" ref="F184:O184" si="183">SUM(F185:F187)</f>
        <v>0</v>
      </c>
      <c r="G184" s="139">
        <f t="shared" si="183"/>
        <v>0</v>
      </c>
      <c r="H184" s="139">
        <f t="shared" si="183"/>
        <v>0</v>
      </c>
      <c r="I184" s="139">
        <f t="shared" si="183"/>
        <v>0</v>
      </c>
      <c r="J184" s="139">
        <f t="shared" si="183"/>
        <v>0</v>
      </c>
      <c r="K184" s="139">
        <f t="shared" si="183"/>
        <v>0</v>
      </c>
      <c r="L184" s="139">
        <f t="shared" si="183"/>
        <v>0</v>
      </c>
      <c r="M184" s="139">
        <f t="shared" si="183"/>
        <v>0</v>
      </c>
      <c r="N184" s="139">
        <f t="shared" si="183"/>
        <v>0</v>
      </c>
      <c r="O184" s="139">
        <f t="shared" si="183"/>
        <v>0</v>
      </c>
      <c r="P184" s="140">
        <f t="shared" si="181"/>
        <v>0</v>
      </c>
      <c r="R184" s="126"/>
      <c r="S184" s="127"/>
      <c r="T184" s="127"/>
      <c r="U184" s="1612"/>
      <c r="V184" s="1612"/>
      <c r="W184" s="1612"/>
      <c r="X184" s="128"/>
      <c r="Y184" s="725"/>
      <c r="Z184" s="128"/>
      <c r="AA184" s="725"/>
      <c r="AB184" s="128"/>
      <c r="AC184" s="154"/>
    </row>
    <row r="185" spans="2:29" outlineLevel="1">
      <c r="B185" s="128" t="s">
        <v>7</v>
      </c>
      <c r="C185" s="126" t="s">
        <v>201</v>
      </c>
      <c r="D185" s="128" t="s">
        <v>198</v>
      </c>
      <c r="E185" s="128" t="s">
        <v>0</v>
      </c>
      <c r="F185" s="141"/>
      <c r="G185" s="141"/>
      <c r="H185" s="141"/>
      <c r="I185" s="141"/>
      <c r="J185" s="141"/>
      <c r="K185" s="141"/>
      <c r="L185" s="141"/>
      <c r="M185" s="141"/>
      <c r="N185" s="141"/>
      <c r="O185" s="141"/>
      <c r="P185" s="151">
        <f t="shared" si="181"/>
        <v>0</v>
      </c>
      <c r="R185" s="190">
        <f>SUM(F185:H185)</f>
        <v>0</v>
      </c>
      <c r="S185" s="182"/>
      <c r="T185" s="182"/>
      <c r="U185" s="1612"/>
      <c r="V185" s="1612"/>
      <c r="W185" s="1612"/>
      <c r="X185" s="142">
        <f>SUM(I185:O185)-AB185-AC185</f>
        <v>0</v>
      </c>
      <c r="Y185" s="725"/>
      <c r="Z185" s="142"/>
      <c r="AA185" s="725"/>
      <c r="AB185" s="128"/>
      <c r="AC185" s="154"/>
    </row>
    <row r="186" spans="2:29" outlineLevel="1">
      <c r="B186" s="128" t="s">
        <v>7</v>
      </c>
      <c r="C186" s="126" t="s">
        <v>201</v>
      </c>
      <c r="D186" s="128" t="s">
        <v>199</v>
      </c>
      <c r="E186" s="128" t="s">
        <v>0</v>
      </c>
      <c r="F186" s="141"/>
      <c r="G186" s="141"/>
      <c r="H186" s="141"/>
      <c r="I186" s="141"/>
      <c r="J186" s="141"/>
      <c r="K186" s="141"/>
      <c r="L186" s="141"/>
      <c r="M186" s="141"/>
      <c r="N186" s="141"/>
      <c r="O186" s="141"/>
      <c r="P186" s="151">
        <f t="shared" si="181"/>
        <v>0</v>
      </c>
      <c r="R186" s="190">
        <f>SUM(F186:H186)</f>
        <v>0</v>
      </c>
      <c r="S186" s="182"/>
      <c r="T186" s="182"/>
      <c r="U186" s="1612"/>
      <c r="V186" s="1612"/>
      <c r="W186" s="1612"/>
      <c r="X186" s="142">
        <f>SUM(I186:O186)-AB186-AC186</f>
        <v>0</v>
      </c>
      <c r="Y186" s="725"/>
      <c r="Z186" s="142"/>
      <c r="AA186" s="725"/>
      <c r="AB186" s="128"/>
      <c r="AC186" s="154"/>
    </row>
    <row r="187" spans="2:29" outlineLevel="1">
      <c r="B187" s="128" t="s">
        <v>7</v>
      </c>
      <c r="C187" s="126" t="s">
        <v>201</v>
      </c>
      <c r="D187" s="128" t="s">
        <v>3</v>
      </c>
      <c r="E187" s="128" t="s">
        <v>0</v>
      </c>
      <c r="F187" s="141"/>
      <c r="G187" s="141"/>
      <c r="H187" s="141"/>
      <c r="I187" s="141"/>
      <c r="J187" s="141"/>
      <c r="K187" s="141"/>
      <c r="L187" s="141"/>
      <c r="M187" s="141"/>
      <c r="N187" s="141"/>
      <c r="O187" s="141"/>
      <c r="P187" s="151">
        <f t="shared" si="181"/>
        <v>0</v>
      </c>
      <c r="R187" s="190">
        <f>SUM(F187:H187)</f>
        <v>0</v>
      </c>
      <c r="S187" s="182"/>
      <c r="T187" s="182"/>
      <c r="U187" s="1612"/>
      <c r="V187" s="1612"/>
      <c r="W187" s="1612"/>
      <c r="X187" s="142">
        <f>SUM(I187:O187)-AB187-AC187</f>
        <v>0</v>
      </c>
      <c r="Y187" s="725"/>
      <c r="Z187" s="142"/>
      <c r="AA187" s="725"/>
      <c r="AB187" s="128"/>
      <c r="AC187" s="154"/>
    </row>
    <row r="188" spans="2:29" outlineLevel="1" collapsed="1">
      <c r="B188" s="138"/>
      <c r="C188" s="136" t="s">
        <v>204</v>
      </c>
      <c r="D188" s="137"/>
      <c r="E188" s="138" t="s">
        <v>0</v>
      </c>
      <c r="F188" s="139">
        <f t="shared" ref="F188:O188" si="184">SUM(F189:F191)</f>
        <v>0</v>
      </c>
      <c r="G188" s="139">
        <f t="shared" si="184"/>
        <v>0</v>
      </c>
      <c r="H188" s="139">
        <f t="shared" si="184"/>
        <v>0</v>
      </c>
      <c r="I188" s="139">
        <f t="shared" si="184"/>
        <v>0</v>
      </c>
      <c r="J188" s="139">
        <f t="shared" si="184"/>
        <v>0</v>
      </c>
      <c r="K188" s="139">
        <f t="shared" si="184"/>
        <v>0</v>
      </c>
      <c r="L188" s="139">
        <f t="shared" si="184"/>
        <v>0</v>
      </c>
      <c r="M188" s="139">
        <f t="shared" si="184"/>
        <v>0</v>
      </c>
      <c r="N188" s="139">
        <f t="shared" si="184"/>
        <v>0</v>
      </c>
      <c r="O188" s="139">
        <f t="shared" si="184"/>
        <v>0</v>
      </c>
      <c r="P188" s="140">
        <f t="shared" si="181"/>
        <v>0</v>
      </c>
      <c r="R188" s="126"/>
      <c r="S188" s="127"/>
      <c r="T188" s="127"/>
      <c r="U188" s="1612"/>
      <c r="V188" s="1612"/>
      <c r="W188" s="1612"/>
      <c r="X188" s="128"/>
      <c r="Y188" s="725"/>
      <c r="Z188" s="128"/>
      <c r="AA188" s="725"/>
      <c r="AB188" s="128"/>
      <c r="AC188" s="154"/>
    </row>
    <row r="189" spans="2:29" outlineLevel="1">
      <c r="B189" s="128" t="s">
        <v>7</v>
      </c>
      <c r="C189" s="126" t="s">
        <v>257</v>
      </c>
      <c r="D189" s="128" t="s">
        <v>198</v>
      </c>
      <c r="E189" s="128" t="s">
        <v>0</v>
      </c>
      <c r="F189" s="141"/>
      <c r="G189" s="141"/>
      <c r="H189" s="141"/>
      <c r="I189" s="141"/>
      <c r="J189" s="141"/>
      <c r="K189" s="141"/>
      <c r="L189" s="141"/>
      <c r="M189" s="141"/>
      <c r="N189" s="141"/>
      <c r="O189" s="141"/>
      <c r="P189" s="151">
        <f t="shared" si="181"/>
        <v>0</v>
      </c>
      <c r="R189" s="190">
        <f>SUM(F189:H189)</f>
        <v>0</v>
      </c>
      <c r="S189" s="182"/>
      <c r="T189" s="182"/>
      <c r="U189" s="1612"/>
      <c r="V189" s="1612"/>
      <c r="W189" s="1612"/>
      <c r="X189" s="142">
        <f>SUM(I189:O189)-AB189-AC189</f>
        <v>0</v>
      </c>
      <c r="Y189" s="725"/>
      <c r="Z189" s="142"/>
      <c r="AA189" s="725"/>
      <c r="AB189" s="128"/>
      <c r="AC189" s="154"/>
    </row>
    <row r="190" spans="2:29" outlineLevel="1">
      <c r="B190" s="128" t="s">
        <v>7</v>
      </c>
      <c r="C190" s="126" t="s">
        <v>257</v>
      </c>
      <c r="D190" s="128" t="s">
        <v>199</v>
      </c>
      <c r="E190" s="128" t="s">
        <v>0</v>
      </c>
      <c r="F190" s="141"/>
      <c r="G190" s="141"/>
      <c r="H190" s="141"/>
      <c r="I190" s="141"/>
      <c r="J190" s="141"/>
      <c r="K190" s="141"/>
      <c r="L190" s="141"/>
      <c r="M190" s="141"/>
      <c r="N190" s="141"/>
      <c r="O190" s="141"/>
      <c r="P190" s="151">
        <f t="shared" si="181"/>
        <v>0</v>
      </c>
      <c r="R190" s="190">
        <f>SUM(F190:H190)</f>
        <v>0</v>
      </c>
      <c r="S190" s="182"/>
      <c r="T190" s="182"/>
      <c r="U190" s="1612"/>
      <c r="V190" s="1612"/>
      <c r="W190" s="1612"/>
      <c r="X190" s="142">
        <f>SUM(I190:O190)-AB190-AC190</f>
        <v>0</v>
      </c>
      <c r="Y190" s="725"/>
      <c r="Z190" s="142"/>
      <c r="AA190" s="725"/>
      <c r="AB190" s="128"/>
      <c r="AC190" s="154"/>
    </row>
    <row r="191" spans="2:29" outlineLevel="1">
      <c r="B191" s="128" t="s">
        <v>7</v>
      </c>
      <c r="C191" s="126" t="s">
        <v>257</v>
      </c>
      <c r="D191" s="128" t="s">
        <v>3</v>
      </c>
      <c r="E191" s="128" t="s">
        <v>0</v>
      </c>
      <c r="F191" s="141"/>
      <c r="G191" s="141"/>
      <c r="H191" s="141"/>
      <c r="I191" s="141"/>
      <c r="J191" s="141"/>
      <c r="K191" s="141"/>
      <c r="L191" s="141"/>
      <c r="M191" s="141"/>
      <c r="N191" s="141"/>
      <c r="O191" s="141"/>
      <c r="P191" s="151">
        <f t="shared" si="181"/>
        <v>0</v>
      </c>
      <c r="R191" s="190">
        <f>SUM(F191:H191)</f>
        <v>0</v>
      </c>
      <c r="S191" s="182"/>
      <c r="T191" s="182"/>
      <c r="U191" s="1612"/>
      <c r="V191" s="1612"/>
      <c r="W191" s="1612"/>
      <c r="X191" s="142">
        <f>SUM(I191:O191)-AB191-AC191</f>
        <v>0</v>
      </c>
      <c r="Y191" s="725"/>
      <c r="Z191" s="142"/>
      <c r="AA191" s="725"/>
      <c r="AB191" s="128"/>
      <c r="AC191" s="154"/>
    </row>
    <row r="192" spans="2:29" outlineLevel="1" collapsed="1">
      <c r="B192" s="138"/>
      <c r="C192" s="136" t="s">
        <v>206</v>
      </c>
      <c r="D192" s="138"/>
      <c r="E192" s="138"/>
      <c r="F192" s="139">
        <f t="shared" ref="F192" si="185">SUM(F193:F195)</f>
        <v>0</v>
      </c>
      <c r="G192" s="139">
        <f t="shared" ref="G192" si="186">SUM(G193:G195)</f>
        <v>0</v>
      </c>
      <c r="H192" s="139">
        <f t="shared" ref="H192" si="187">SUM(H193:H195)</f>
        <v>0</v>
      </c>
      <c r="I192" s="139">
        <f t="shared" ref="I192" si="188">SUM(I193:I195)</f>
        <v>0</v>
      </c>
      <c r="J192" s="139">
        <f t="shared" ref="J192" si="189">SUM(J193:J195)</f>
        <v>0</v>
      </c>
      <c r="K192" s="139">
        <f t="shared" ref="K192" si="190">SUM(K193:K195)</f>
        <v>0</v>
      </c>
      <c r="L192" s="139">
        <f t="shared" ref="L192" si="191">SUM(L193:L195)</f>
        <v>0</v>
      </c>
      <c r="M192" s="139">
        <f t="shared" ref="M192" si="192">SUM(M193:M195)</f>
        <v>0</v>
      </c>
      <c r="N192" s="139">
        <f t="shared" ref="N192" si="193">SUM(N193:N195)</f>
        <v>0</v>
      </c>
      <c r="O192" s="139">
        <f t="shared" ref="O192" si="194">SUM(O193:O195)</f>
        <v>0</v>
      </c>
      <c r="P192" s="140">
        <f t="shared" si="181"/>
        <v>0</v>
      </c>
      <c r="R192" s="126"/>
      <c r="S192" s="127"/>
      <c r="T192" s="127"/>
      <c r="U192" s="1612"/>
      <c r="V192" s="1612"/>
      <c r="W192" s="1612"/>
      <c r="X192" s="128"/>
      <c r="Y192" s="725"/>
      <c r="Z192" s="128"/>
      <c r="AA192" s="725"/>
      <c r="AB192" s="128"/>
      <c r="AC192" s="154"/>
    </row>
    <row r="193" spans="2:29" outlineLevel="1">
      <c r="B193" s="128" t="s">
        <v>7</v>
      </c>
      <c r="C193" s="126" t="s">
        <v>206</v>
      </c>
      <c r="D193" s="128" t="s">
        <v>205</v>
      </c>
      <c r="E193" s="128" t="s">
        <v>0</v>
      </c>
      <c r="F193" s="141"/>
      <c r="G193" s="141"/>
      <c r="H193" s="141"/>
      <c r="I193" s="141"/>
      <c r="J193" s="141"/>
      <c r="K193" s="141"/>
      <c r="L193" s="141"/>
      <c r="M193" s="141"/>
      <c r="N193" s="141"/>
      <c r="O193" s="141"/>
      <c r="P193" s="151">
        <f t="shared" si="181"/>
        <v>0</v>
      </c>
      <c r="R193" s="190">
        <f>SUM(F193:H193)</f>
        <v>0</v>
      </c>
      <c r="S193" s="182"/>
      <c r="T193" s="182"/>
      <c r="U193" s="1612"/>
      <c r="V193" s="1612"/>
      <c r="W193" s="1612"/>
      <c r="X193" s="142">
        <f>SUM(I193:O193)-AB193-AC193</f>
        <v>0</v>
      </c>
      <c r="Y193" s="725"/>
      <c r="Z193" s="142"/>
      <c r="AA193" s="725"/>
      <c r="AB193" s="128"/>
      <c r="AC193" s="154"/>
    </row>
    <row r="194" spans="2:29" outlineLevel="1">
      <c r="B194" s="143" t="s">
        <v>7</v>
      </c>
      <c r="C194" s="126" t="s">
        <v>1</v>
      </c>
      <c r="D194" s="128" t="s">
        <v>358</v>
      </c>
      <c r="E194" s="143" t="s">
        <v>1</v>
      </c>
      <c r="F194" s="141"/>
      <c r="G194" s="141"/>
      <c r="H194" s="141"/>
      <c r="I194" s="141"/>
      <c r="J194" s="141"/>
      <c r="K194" s="141"/>
      <c r="L194" s="141"/>
      <c r="M194" s="141"/>
      <c r="N194" s="141"/>
      <c r="O194" s="141"/>
      <c r="P194" s="151">
        <f t="shared" si="181"/>
        <v>0</v>
      </c>
      <c r="R194" s="190">
        <f>SUM(F194:H194)</f>
        <v>0</v>
      </c>
      <c r="S194" s="182"/>
      <c r="T194" s="182"/>
      <c r="U194" s="1612"/>
      <c r="V194" s="1612"/>
      <c r="W194" s="1612"/>
      <c r="X194" s="142">
        <f>SUM(I194:O194)-AB194-AC194</f>
        <v>0</v>
      </c>
      <c r="Y194" s="725"/>
      <c r="Z194" s="142"/>
      <c r="AA194" s="725"/>
      <c r="AB194" s="128"/>
      <c r="AC194" s="154"/>
    </row>
    <row r="195" spans="2:29" outlineLevel="1">
      <c r="B195" s="143" t="s">
        <v>7</v>
      </c>
      <c r="C195" s="126" t="s">
        <v>207</v>
      </c>
      <c r="D195" s="128" t="s">
        <v>358</v>
      </c>
      <c r="E195" s="143" t="s">
        <v>359</v>
      </c>
      <c r="F195" s="141"/>
      <c r="G195" s="141"/>
      <c r="H195" s="141"/>
      <c r="I195" s="141"/>
      <c r="J195" s="141"/>
      <c r="K195" s="141"/>
      <c r="L195" s="141"/>
      <c r="M195" s="141"/>
      <c r="N195" s="141"/>
      <c r="O195" s="141"/>
      <c r="P195" s="151">
        <f t="shared" si="181"/>
        <v>0</v>
      </c>
      <c r="R195" s="190">
        <f>SUM(F195:H195)</f>
        <v>0</v>
      </c>
      <c r="S195" s="182"/>
      <c r="T195" s="182"/>
      <c r="U195" s="1612"/>
      <c r="V195" s="1612"/>
      <c r="W195" s="1612"/>
      <c r="X195" s="142">
        <f>SUM(I195:O195)-AB195-AC195</f>
        <v>0</v>
      </c>
      <c r="Y195" s="725"/>
      <c r="Z195" s="142"/>
      <c r="AA195" s="725"/>
      <c r="AB195" s="128"/>
      <c r="AC195" s="154"/>
    </row>
    <row r="196" spans="2:29" outlineLevel="1">
      <c r="B196" s="138"/>
      <c r="C196" s="136" t="s">
        <v>360</v>
      </c>
      <c r="D196" s="138"/>
      <c r="E196" s="138"/>
      <c r="F196" s="139" t="e">
        <f t="shared" ref="F196:O196" si="195">SUM(F197:F203)</f>
        <v>#REF!</v>
      </c>
      <c r="G196" s="139">
        <f t="shared" si="195"/>
        <v>0</v>
      </c>
      <c r="H196" s="139">
        <f t="shared" si="195"/>
        <v>0</v>
      </c>
      <c r="I196" s="139">
        <f t="shared" si="195"/>
        <v>0</v>
      </c>
      <c r="J196" s="139">
        <f t="shared" si="195"/>
        <v>0</v>
      </c>
      <c r="K196" s="139">
        <f t="shared" si="195"/>
        <v>0</v>
      </c>
      <c r="L196" s="139">
        <f t="shared" si="195"/>
        <v>0</v>
      </c>
      <c r="M196" s="139">
        <f t="shared" si="195"/>
        <v>0</v>
      </c>
      <c r="N196" s="139">
        <f t="shared" si="195"/>
        <v>0</v>
      </c>
      <c r="O196" s="139">
        <f t="shared" si="195"/>
        <v>0</v>
      </c>
      <c r="P196" s="140" t="e">
        <f t="shared" si="181"/>
        <v>#REF!</v>
      </c>
      <c r="R196" s="126"/>
      <c r="S196" s="127"/>
      <c r="T196" s="127"/>
      <c r="U196" s="1612"/>
      <c r="V196" s="1612"/>
      <c r="W196" s="1612"/>
      <c r="X196" s="128"/>
      <c r="Y196" s="725"/>
      <c r="Z196" s="128"/>
      <c r="AA196" s="725"/>
      <c r="AB196" s="128"/>
      <c r="AC196" s="154"/>
    </row>
    <row r="197" spans="2:29" outlineLevel="1">
      <c r="B197" s="128" t="s">
        <v>7</v>
      </c>
      <c r="C197" s="126" t="s">
        <v>208</v>
      </c>
      <c r="D197" s="128" t="s">
        <v>571</v>
      </c>
      <c r="E197" s="128" t="s">
        <v>0</v>
      </c>
      <c r="F197" s="142" t="e">
        <f>'N_02 Vstupy'!#REF!*1.2</f>
        <v>#REF!</v>
      </c>
      <c r="G197" s="142"/>
      <c r="H197" s="142"/>
      <c r="I197" s="142"/>
      <c r="J197" s="142"/>
      <c r="K197" s="142"/>
      <c r="L197" s="142"/>
      <c r="M197" s="142"/>
      <c r="N197" s="142"/>
      <c r="O197" s="142"/>
      <c r="P197" s="151" t="e">
        <f t="shared" si="181"/>
        <v>#REF!</v>
      </c>
      <c r="R197" s="190" t="e">
        <f>SUM(F197:H197)</f>
        <v>#REF!</v>
      </c>
      <c r="S197" s="182"/>
      <c r="T197" s="182"/>
      <c r="U197" s="1612"/>
      <c r="V197" s="1612"/>
      <c r="W197" s="1612"/>
      <c r="X197" s="142">
        <f>SUM(I197:O197)-AB197-AC197</f>
        <v>0</v>
      </c>
      <c r="Y197" s="725"/>
      <c r="Z197" s="142"/>
      <c r="AA197" s="725"/>
      <c r="AB197" s="128"/>
      <c r="AC197" s="154"/>
    </row>
    <row r="198" spans="2:29" outlineLevel="1">
      <c r="B198" s="128" t="s">
        <v>7</v>
      </c>
      <c r="C198" s="126" t="s">
        <v>208</v>
      </c>
      <c r="D198" s="128" t="s">
        <v>572</v>
      </c>
      <c r="E198" s="128" t="s">
        <v>0</v>
      </c>
      <c r="F198" s="142" t="e">
        <f>'N_02 Vstupy'!#REF!*1.2</f>
        <v>#REF!</v>
      </c>
      <c r="G198" s="142"/>
      <c r="H198" s="142"/>
      <c r="I198" s="142"/>
      <c r="J198" s="142"/>
      <c r="K198" s="142"/>
      <c r="L198" s="142"/>
      <c r="M198" s="142"/>
      <c r="N198" s="142"/>
      <c r="O198" s="142"/>
      <c r="P198" s="151" t="e">
        <f t="shared" si="181"/>
        <v>#REF!</v>
      </c>
      <c r="R198" s="190" t="e">
        <f>SUM(F198:H198)</f>
        <v>#REF!</v>
      </c>
      <c r="S198" s="182"/>
      <c r="T198" s="182"/>
      <c r="U198" s="1612"/>
      <c r="V198" s="1612"/>
      <c r="W198" s="1612"/>
      <c r="X198" s="142">
        <f>SUM(I198:O198)-AB198-AC198</f>
        <v>0</v>
      </c>
      <c r="Y198" s="725"/>
      <c r="Z198" s="142"/>
      <c r="AA198" s="725"/>
      <c r="AB198" s="128"/>
      <c r="AC198" s="154"/>
    </row>
    <row r="199" spans="2:29" outlineLevel="1">
      <c r="B199" s="128" t="s">
        <v>7</v>
      </c>
      <c r="C199" s="126" t="s">
        <v>208</v>
      </c>
      <c r="D199" s="128" t="s">
        <v>573</v>
      </c>
      <c r="E199" s="128" t="s">
        <v>0</v>
      </c>
      <c r="F199" s="142" t="e">
        <f>'N_02 Vstupy'!#REF!*1.2</f>
        <v>#REF!</v>
      </c>
      <c r="G199" s="142"/>
      <c r="H199" s="142"/>
      <c r="I199" s="142"/>
      <c r="J199" s="142"/>
      <c r="K199" s="142"/>
      <c r="L199" s="142"/>
      <c r="M199" s="142"/>
      <c r="N199" s="142"/>
      <c r="O199" s="142"/>
      <c r="P199" s="151" t="e">
        <f t="shared" si="181"/>
        <v>#REF!</v>
      </c>
      <c r="R199" s="190" t="e">
        <f>SUM(F199:H199)</f>
        <v>#REF!</v>
      </c>
      <c r="S199" s="182"/>
      <c r="T199" s="182"/>
      <c r="U199" s="1612"/>
      <c r="V199" s="1612"/>
      <c r="W199" s="1612"/>
      <c r="X199" s="142">
        <f>SUM(I199:O199)-AB199-AC199</f>
        <v>0</v>
      </c>
      <c r="Y199" s="725"/>
      <c r="Z199" s="142"/>
      <c r="AA199" s="725"/>
      <c r="AB199" s="128"/>
      <c r="AC199" s="154"/>
    </row>
    <row r="200" spans="2:29" outlineLevel="1">
      <c r="B200" s="128" t="s">
        <v>7</v>
      </c>
      <c r="C200" s="126" t="s">
        <v>208</v>
      </c>
      <c r="D200" s="128" t="s">
        <v>574</v>
      </c>
      <c r="E200" s="128" t="s">
        <v>0</v>
      </c>
      <c r="F200" s="142" t="e">
        <f>'N_02 Vstupy'!#REF!*1.2</f>
        <v>#REF!</v>
      </c>
      <c r="G200" s="142"/>
      <c r="H200" s="142"/>
      <c r="I200" s="142"/>
      <c r="J200" s="142"/>
      <c r="K200" s="142"/>
      <c r="L200" s="142"/>
      <c r="M200" s="142"/>
      <c r="N200" s="142"/>
      <c r="O200" s="142"/>
      <c r="P200" s="151" t="e">
        <f t="shared" si="181"/>
        <v>#REF!</v>
      </c>
      <c r="R200" s="190" t="e">
        <f>SUM(F200:H200)</f>
        <v>#REF!</v>
      </c>
      <c r="S200" s="182"/>
      <c r="T200" s="182"/>
      <c r="U200" s="1612"/>
      <c r="V200" s="1612"/>
      <c r="W200" s="1612"/>
      <c r="X200" s="142">
        <f>SUM(I200:O200)-AB200-AC200</f>
        <v>0</v>
      </c>
      <c r="Y200" s="725"/>
      <c r="Z200" s="142"/>
      <c r="AA200" s="725"/>
      <c r="AB200" s="128"/>
      <c r="AC200" s="154"/>
    </row>
    <row r="201" spans="2:29" outlineLevel="1">
      <c r="B201" s="128" t="s">
        <v>7</v>
      </c>
      <c r="C201" s="126" t="s">
        <v>208</v>
      </c>
      <c r="D201" s="128" t="s">
        <v>721</v>
      </c>
      <c r="E201" s="128" t="s">
        <v>0</v>
      </c>
      <c r="F201" s="142" t="e">
        <f>'N_02 Vstupy'!#REF!*1.2</f>
        <v>#REF!</v>
      </c>
      <c r="G201" s="142"/>
      <c r="H201" s="142"/>
      <c r="I201" s="142"/>
      <c r="J201" s="142"/>
      <c r="K201" s="142"/>
      <c r="L201" s="142"/>
      <c r="M201" s="142"/>
      <c r="N201" s="142"/>
      <c r="O201" s="142"/>
      <c r="P201" s="151"/>
      <c r="R201" s="190"/>
      <c r="S201" s="182"/>
      <c r="T201" s="182"/>
      <c r="U201" s="1612"/>
      <c r="V201" s="1612"/>
      <c r="W201" s="1612"/>
      <c r="X201" s="142"/>
      <c r="Y201" s="725"/>
      <c r="Z201" s="142"/>
      <c r="AA201" s="725"/>
      <c r="AB201" s="128"/>
      <c r="AC201" s="154"/>
    </row>
    <row r="202" spans="2:29" outlineLevel="1">
      <c r="B202" s="128" t="s">
        <v>7</v>
      </c>
      <c r="C202" s="126" t="s">
        <v>208</v>
      </c>
      <c r="D202" s="128" t="s">
        <v>913</v>
      </c>
      <c r="E202" s="128" t="s">
        <v>0</v>
      </c>
      <c r="F202" s="142" t="e">
        <f>'N_02 Vstupy'!#REF!*1.2</f>
        <v>#REF!</v>
      </c>
      <c r="G202" s="142"/>
      <c r="H202" s="142"/>
      <c r="I202" s="142"/>
      <c r="J202" s="142"/>
      <c r="K202" s="142"/>
      <c r="L202" s="142"/>
      <c r="M202" s="142"/>
      <c r="N202" s="142"/>
      <c r="O202" s="142"/>
      <c r="P202" s="151" t="e">
        <f t="shared" si="181"/>
        <v>#REF!</v>
      </c>
      <c r="R202" s="126"/>
      <c r="S202" s="127"/>
      <c r="T202" s="127"/>
      <c r="U202" s="1612"/>
      <c r="V202" s="1612"/>
      <c r="W202" s="1612"/>
      <c r="X202" s="128"/>
      <c r="Y202" s="725"/>
      <c r="Z202" s="128"/>
      <c r="AA202" s="725"/>
      <c r="AB202" s="128"/>
      <c r="AC202" s="154"/>
    </row>
    <row r="203" spans="2:29" outlineLevel="1">
      <c r="B203" s="128" t="s">
        <v>7</v>
      </c>
      <c r="C203" s="126" t="s">
        <v>208</v>
      </c>
      <c r="D203" s="128" t="s">
        <v>914</v>
      </c>
      <c r="E203" s="128" t="s">
        <v>0</v>
      </c>
      <c r="F203" s="142" t="e">
        <f>'N_02 Vstupy'!#REF!*1.2</f>
        <v>#REF!</v>
      </c>
      <c r="G203" s="142"/>
      <c r="H203" s="142"/>
      <c r="I203" s="142"/>
      <c r="J203" s="142"/>
      <c r="K203" s="142"/>
      <c r="L203" s="142"/>
      <c r="M203" s="142"/>
      <c r="N203" s="142"/>
      <c r="O203" s="142"/>
      <c r="P203" s="151" t="e">
        <f t="shared" si="181"/>
        <v>#REF!</v>
      </c>
      <c r="R203" s="190" t="e">
        <f t="shared" ref="R203:R210" si="196">SUM(F203:H203)</f>
        <v>#REF!</v>
      </c>
      <c r="S203" s="182"/>
      <c r="T203" s="182"/>
      <c r="U203" s="1612"/>
      <c r="V203" s="1612"/>
      <c r="W203" s="1612"/>
      <c r="X203" s="142">
        <f t="shared" ref="X203:X210" si="197">SUM(I203:O203)-AB203-AC203</f>
        <v>0</v>
      </c>
      <c r="Y203" s="725"/>
      <c r="Z203" s="142"/>
      <c r="AA203" s="725"/>
      <c r="AB203" s="128"/>
      <c r="AC203" s="154"/>
    </row>
    <row r="204" spans="2:29" outlineLevel="1">
      <c r="B204" s="138"/>
      <c r="C204" s="136" t="s">
        <v>11</v>
      </c>
      <c r="D204" s="138"/>
      <c r="E204" s="138"/>
      <c r="F204" s="139">
        <f>SUM(F205:F213)</f>
        <v>0</v>
      </c>
      <c r="G204" s="139">
        <f t="shared" ref="G204:O204" si="198">SUM(G205:G213)</f>
        <v>0</v>
      </c>
      <c r="H204" s="139">
        <f t="shared" si="198"/>
        <v>578175</v>
      </c>
      <c r="I204" s="139">
        <f t="shared" si="198"/>
        <v>578175</v>
      </c>
      <c r="J204" s="139">
        <f t="shared" si="198"/>
        <v>578175</v>
      </c>
      <c r="K204" s="139">
        <f t="shared" si="198"/>
        <v>578175</v>
      </c>
      <c r="L204" s="139">
        <f t="shared" si="198"/>
        <v>578175</v>
      </c>
      <c r="M204" s="139">
        <f t="shared" si="198"/>
        <v>578175</v>
      </c>
      <c r="N204" s="139">
        <f t="shared" si="198"/>
        <v>578175</v>
      </c>
      <c r="O204" s="139">
        <f t="shared" si="198"/>
        <v>578175</v>
      </c>
      <c r="P204" s="140">
        <f t="shared" si="181"/>
        <v>4625400</v>
      </c>
      <c r="R204" s="190">
        <f t="shared" si="196"/>
        <v>578175</v>
      </c>
      <c r="S204" s="182"/>
      <c r="T204" s="182"/>
      <c r="U204" s="1612"/>
      <c r="V204" s="1612"/>
      <c r="W204" s="1612"/>
      <c r="X204" s="142">
        <f t="shared" si="197"/>
        <v>4047225</v>
      </c>
      <c r="Y204" s="725"/>
      <c r="Z204" s="142"/>
      <c r="AA204" s="725"/>
      <c r="AB204" s="128"/>
      <c r="AC204" s="154"/>
    </row>
    <row r="205" spans="2:29" outlineLevel="1">
      <c r="B205" s="128" t="s">
        <v>5</v>
      </c>
      <c r="C205" s="126" t="s">
        <v>205</v>
      </c>
      <c r="D205" s="128" t="s">
        <v>258</v>
      </c>
      <c r="E205" s="128" t="s">
        <v>0</v>
      </c>
      <c r="F205" s="141"/>
      <c r="G205" s="141"/>
      <c r="H205" s="141"/>
      <c r="I205" s="141"/>
      <c r="J205" s="141"/>
      <c r="K205" s="141"/>
      <c r="L205" s="141"/>
      <c r="M205" s="141"/>
      <c r="N205" s="141"/>
      <c r="O205" s="141"/>
      <c r="P205" s="151">
        <f t="shared" si="181"/>
        <v>0</v>
      </c>
      <c r="R205" s="190">
        <f t="shared" si="196"/>
        <v>0</v>
      </c>
      <c r="S205" s="182"/>
      <c r="T205" s="182"/>
      <c r="U205" s="1612"/>
      <c r="V205" s="1612"/>
      <c r="W205" s="1612"/>
      <c r="X205" s="142">
        <f t="shared" si="197"/>
        <v>0</v>
      </c>
      <c r="Y205" s="725"/>
      <c r="Z205" s="142"/>
      <c r="AA205" s="725"/>
      <c r="AB205" s="128"/>
      <c r="AC205" s="154"/>
    </row>
    <row r="206" spans="2:29" outlineLevel="1">
      <c r="B206" s="128" t="s">
        <v>5</v>
      </c>
      <c r="C206" s="126" t="s">
        <v>205</v>
      </c>
      <c r="D206" s="128" t="s">
        <v>259</v>
      </c>
      <c r="E206" s="128" t="s">
        <v>0</v>
      </c>
      <c r="F206" s="141"/>
      <c r="G206" s="141"/>
      <c r="H206" s="141"/>
      <c r="I206" s="141"/>
      <c r="J206" s="141"/>
      <c r="K206" s="141"/>
      <c r="L206" s="141"/>
      <c r="M206" s="141"/>
      <c r="N206" s="141"/>
      <c r="O206" s="141"/>
      <c r="P206" s="151">
        <f t="shared" si="181"/>
        <v>0</v>
      </c>
      <c r="R206" s="190">
        <f t="shared" si="196"/>
        <v>0</v>
      </c>
      <c r="S206" s="182"/>
      <c r="T206" s="182"/>
      <c r="U206" s="1612"/>
      <c r="V206" s="1612"/>
      <c r="W206" s="1612"/>
      <c r="X206" s="142">
        <f t="shared" si="197"/>
        <v>0</v>
      </c>
      <c r="Y206" s="725"/>
      <c r="Z206" s="142"/>
      <c r="AA206" s="725"/>
      <c r="AB206" s="128"/>
      <c r="AC206" s="154"/>
    </row>
    <row r="207" spans="2:29" outlineLevel="1">
      <c r="B207" s="128" t="s">
        <v>5</v>
      </c>
      <c r="C207" s="126" t="s">
        <v>205</v>
      </c>
      <c r="D207" s="128" t="s">
        <v>10</v>
      </c>
      <c r="E207" s="128" t="s">
        <v>0</v>
      </c>
      <c r="F207" s="141"/>
      <c r="G207" s="141"/>
      <c r="H207" s="141"/>
      <c r="I207" s="141"/>
      <c r="J207" s="141"/>
      <c r="K207" s="141"/>
      <c r="L207" s="141"/>
      <c r="M207" s="141"/>
      <c r="N207" s="141"/>
      <c r="O207" s="141"/>
      <c r="P207" s="151">
        <f t="shared" si="181"/>
        <v>0</v>
      </c>
      <c r="R207" s="190">
        <f t="shared" si="196"/>
        <v>0</v>
      </c>
      <c r="S207" s="182"/>
      <c r="T207" s="182"/>
      <c r="U207" s="1612"/>
      <c r="V207" s="1612"/>
      <c r="W207" s="1612"/>
      <c r="X207" s="142">
        <f t="shared" si="197"/>
        <v>0</v>
      </c>
      <c r="Y207" s="725"/>
      <c r="Z207" s="142"/>
      <c r="AA207" s="725"/>
      <c r="AB207" s="128"/>
      <c r="AC207" s="154"/>
    </row>
    <row r="208" spans="2:29" outlineLevel="1">
      <c r="B208" s="128" t="s">
        <v>5</v>
      </c>
      <c r="C208" s="126" t="s">
        <v>197</v>
      </c>
      <c r="D208" s="128" t="s">
        <v>258</v>
      </c>
      <c r="E208" s="128" t="s">
        <v>0</v>
      </c>
      <c r="F208" s="141"/>
      <c r="G208" s="141"/>
      <c r="H208" s="141"/>
      <c r="I208" s="141"/>
      <c r="J208" s="141"/>
      <c r="K208" s="141"/>
      <c r="L208" s="141"/>
      <c r="M208" s="141"/>
      <c r="N208" s="141"/>
      <c r="O208" s="141"/>
      <c r="P208" s="151">
        <f t="shared" si="181"/>
        <v>0</v>
      </c>
      <c r="R208" s="190">
        <f t="shared" si="196"/>
        <v>0</v>
      </c>
      <c r="S208" s="182"/>
      <c r="T208" s="182"/>
      <c r="U208" s="1612"/>
      <c r="V208" s="1612"/>
      <c r="W208" s="1612"/>
      <c r="X208" s="142">
        <f t="shared" si="197"/>
        <v>0</v>
      </c>
      <c r="Y208" s="725"/>
      <c r="Z208" s="142"/>
      <c r="AA208" s="725"/>
      <c r="AB208" s="128"/>
      <c r="AC208" s="154"/>
    </row>
    <row r="209" spans="2:29" outlineLevel="1">
      <c r="B209" s="128" t="s">
        <v>5</v>
      </c>
      <c r="C209" s="126" t="s">
        <v>197</v>
      </c>
      <c r="D209" s="128" t="s">
        <v>259</v>
      </c>
      <c r="E209" s="128" t="s">
        <v>0</v>
      </c>
      <c r="F209" s="141"/>
      <c r="G209" s="141"/>
      <c r="H209" s="141"/>
      <c r="I209" s="141"/>
      <c r="J209" s="141"/>
      <c r="K209" s="141"/>
      <c r="L209" s="141"/>
      <c r="M209" s="141"/>
      <c r="N209" s="141"/>
      <c r="O209" s="141"/>
      <c r="P209" s="151">
        <f t="shared" si="181"/>
        <v>0</v>
      </c>
      <c r="R209" s="190">
        <f t="shared" si="196"/>
        <v>0</v>
      </c>
      <c r="S209" s="182"/>
      <c r="T209" s="182"/>
      <c r="U209" s="1612"/>
      <c r="V209" s="1612"/>
      <c r="W209" s="1612"/>
      <c r="X209" s="142">
        <f t="shared" si="197"/>
        <v>0</v>
      </c>
      <c r="Y209" s="725"/>
      <c r="Z209" s="142"/>
      <c r="AA209" s="725"/>
      <c r="AB209" s="128"/>
      <c r="AC209" s="154"/>
    </row>
    <row r="210" spans="2:29" outlineLevel="1">
      <c r="B210" s="128" t="s">
        <v>5</v>
      </c>
      <c r="C210" s="126" t="s">
        <v>8</v>
      </c>
      <c r="D210" s="128" t="s">
        <v>258</v>
      </c>
      <c r="E210" s="128" t="s">
        <v>0</v>
      </c>
      <c r="F210" s="141"/>
      <c r="G210" s="141"/>
      <c r="H210" s="141"/>
      <c r="I210" s="141"/>
      <c r="J210" s="141"/>
      <c r="K210" s="141"/>
      <c r="L210" s="141"/>
      <c r="M210" s="141"/>
      <c r="N210" s="141"/>
      <c r="O210" s="141"/>
      <c r="P210" s="151">
        <f t="shared" si="181"/>
        <v>0</v>
      </c>
      <c r="R210" s="190">
        <f t="shared" si="196"/>
        <v>0</v>
      </c>
      <c r="S210" s="182"/>
      <c r="T210" s="182"/>
      <c r="U210" s="1612"/>
      <c r="V210" s="1612"/>
      <c r="W210" s="1612"/>
      <c r="X210" s="142">
        <f t="shared" si="197"/>
        <v>0</v>
      </c>
      <c r="Y210" s="725"/>
      <c r="Z210" s="142"/>
      <c r="AA210" s="725"/>
      <c r="AB210" s="128"/>
      <c r="AC210" s="154"/>
    </row>
    <row r="211" spans="2:29" outlineLevel="1">
      <c r="B211" s="128" t="s">
        <v>5</v>
      </c>
      <c r="C211" s="126" t="s">
        <v>8</v>
      </c>
      <c r="D211" s="128" t="s">
        <v>259</v>
      </c>
      <c r="E211" s="128" t="s">
        <v>0</v>
      </c>
      <c r="F211" s="141"/>
      <c r="G211" s="141"/>
      <c r="H211" s="141"/>
      <c r="I211" s="141"/>
      <c r="J211" s="141"/>
      <c r="K211" s="141"/>
      <c r="L211" s="141"/>
      <c r="M211" s="141"/>
      <c r="N211" s="141"/>
      <c r="O211" s="141"/>
      <c r="P211" s="151">
        <f t="shared" si="181"/>
        <v>0</v>
      </c>
      <c r="R211" s="190">
        <f>SUM(F211,G211,H211/2)</f>
        <v>0</v>
      </c>
      <c r="S211" s="182"/>
      <c r="T211" s="182"/>
      <c r="U211" s="1612"/>
      <c r="V211" s="1612"/>
      <c r="W211" s="1612"/>
      <c r="X211" s="142">
        <f>SUM(H211/2,I211:O211)</f>
        <v>0</v>
      </c>
      <c r="Y211" s="725"/>
      <c r="Z211" s="142"/>
      <c r="AA211" s="725"/>
      <c r="AB211" s="128"/>
      <c r="AC211" s="154"/>
    </row>
    <row r="212" spans="2:29" outlineLevel="1">
      <c r="B212" s="128" t="s">
        <v>5</v>
      </c>
      <c r="C212" s="126" t="s">
        <v>208</v>
      </c>
      <c r="D212" s="128" t="s">
        <v>263</v>
      </c>
      <c r="E212" s="128" t="s">
        <v>0</v>
      </c>
      <c r="F212" s="141"/>
      <c r="G212" s="141"/>
      <c r="H212" s="141"/>
      <c r="I212" s="141"/>
      <c r="J212" s="141"/>
      <c r="K212" s="141"/>
      <c r="L212" s="141"/>
      <c r="M212" s="141"/>
      <c r="N212" s="141"/>
      <c r="O212" s="141"/>
      <c r="P212" s="151">
        <f t="shared" si="181"/>
        <v>0</v>
      </c>
      <c r="R212" s="126"/>
      <c r="S212" s="127"/>
      <c r="T212" s="127"/>
      <c r="U212" s="1612"/>
      <c r="V212" s="1612"/>
      <c r="W212" s="1612"/>
      <c r="X212" s="128"/>
      <c r="Y212" s="725"/>
      <c r="Z212" s="128"/>
      <c r="AA212" s="725"/>
      <c r="AB212" s="128"/>
      <c r="AC212" s="154"/>
    </row>
    <row r="213" spans="2:29" outlineLevel="1">
      <c r="B213" s="128" t="s">
        <v>5</v>
      </c>
      <c r="C213" s="126" t="s">
        <v>205</v>
      </c>
      <c r="D213" s="128" t="s">
        <v>402</v>
      </c>
      <c r="E213" s="128" t="s">
        <v>0</v>
      </c>
      <c r="F213" s="142">
        <f>'N_02 Vstupy'!$C$68</f>
        <v>0</v>
      </c>
      <c r="G213" s="142">
        <f>'N_02 Vstupy'!$D$68</f>
        <v>0</v>
      </c>
      <c r="H213" s="142">
        <f>'N_02 Vstupy'!E$68</f>
        <v>578175</v>
      </c>
      <c r="I213" s="142">
        <f>'N_02 Vstupy'!$F$68</f>
        <v>578175</v>
      </c>
      <c r="J213" s="142">
        <f>'N_02 Vstupy'!$G$68</f>
        <v>578175</v>
      </c>
      <c r="K213" s="142">
        <f>'N_02 Vstupy'!$H$68</f>
        <v>578175</v>
      </c>
      <c r="L213" s="142">
        <f>'N_02 Vstupy'!$I$68</f>
        <v>578175</v>
      </c>
      <c r="M213" s="142">
        <f>'N_02 Vstupy'!$J$68</f>
        <v>578175</v>
      </c>
      <c r="N213" s="142">
        <f>'N_02 Vstupy'!$K$68</f>
        <v>578175</v>
      </c>
      <c r="O213" s="142">
        <f>'N_02 Vstupy'!$L$68</f>
        <v>578175</v>
      </c>
      <c r="P213" s="140">
        <f t="shared" si="181"/>
        <v>4625400</v>
      </c>
      <c r="R213" s="190">
        <f>SUM(F213,G213,H213/2)</f>
        <v>289087.5</v>
      </c>
      <c r="S213" s="182"/>
      <c r="T213" s="182"/>
      <c r="U213" s="1612"/>
      <c r="V213" s="1612"/>
      <c r="W213" s="1612"/>
      <c r="X213" s="142">
        <f>SUM(I213:O213)-AB213-AC213</f>
        <v>4047225</v>
      </c>
      <c r="Y213" s="725"/>
      <c r="Z213" s="142"/>
      <c r="AA213" s="725"/>
      <c r="AB213" s="128"/>
      <c r="AC213" s="154"/>
    </row>
    <row r="214" spans="2:29" outlineLevel="1">
      <c r="B214" s="138"/>
      <c r="C214" s="136" t="s">
        <v>407</v>
      </c>
      <c r="D214" s="138"/>
      <c r="E214" s="138"/>
      <c r="F214" s="139">
        <f t="shared" ref="F214" si="199">SUM(F215:F215)</f>
        <v>60000</v>
      </c>
      <c r="G214" s="139">
        <f t="shared" ref="G214" si="200">SUM(G215:G215)</f>
        <v>0</v>
      </c>
      <c r="H214" s="139">
        <f t="shared" ref="H214" si="201">SUM(H215:H215)</f>
        <v>0</v>
      </c>
      <c r="I214" s="139">
        <f t="shared" ref="I214" si="202">SUM(I215:I215)</f>
        <v>0</v>
      </c>
      <c r="J214" s="139">
        <f t="shared" ref="J214" si="203">SUM(J215:J215)</f>
        <v>0</v>
      </c>
      <c r="K214" s="139">
        <f t="shared" ref="K214" si="204">SUM(K215:K215)</f>
        <v>0</v>
      </c>
      <c r="L214" s="139">
        <f t="shared" ref="L214" si="205">SUM(L215:L215)</f>
        <v>0</v>
      </c>
      <c r="M214" s="139">
        <f t="shared" ref="M214" si="206">SUM(M215:M215)</f>
        <v>0</v>
      </c>
      <c r="N214" s="139">
        <f t="shared" ref="N214" si="207">SUM(N215:N215)</f>
        <v>0</v>
      </c>
      <c r="O214" s="139">
        <f t="shared" ref="O214" si="208">SUM(O215:O215)</f>
        <v>0</v>
      </c>
      <c r="P214" s="151">
        <f t="shared" si="181"/>
        <v>60000</v>
      </c>
      <c r="R214" s="126"/>
      <c r="S214" s="127"/>
      <c r="T214" s="127"/>
      <c r="U214" s="1612"/>
      <c r="V214" s="1612"/>
      <c r="W214" s="1612"/>
      <c r="X214" s="128"/>
      <c r="Y214" s="725"/>
      <c r="Z214" s="128"/>
      <c r="AA214" s="725"/>
      <c r="AB214" s="128"/>
      <c r="AC214" s="154"/>
    </row>
    <row r="215" spans="2:29" outlineLevel="1">
      <c r="B215" s="128" t="s">
        <v>5</v>
      </c>
      <c r="C215" s="126" t="s">
        <v>407</v>
      </c>
      <c r="D215" s="128" t="s">
        <v>407</v>
      </c>
      <c r="E215" s="128" t="s">
        <v>0</v>
      </c>
      <c r="F215" s="142">
        <f>'N_02 Vstupy'!E110*1.2</f>
        <v>60000</v>
      </c>
      <c r="G215" s="141"/>
      <c r="H215" s="141"/>
      <c r="I215" s="141"/>
      <c r="J215" s="141"/>
      <c r="K215" s="141"/>
      <c r="L215" s="141"/>
      <c r="M215" s="141"/>
      <c r="N215" s="141"/>
      <c r="O215" s="141"/>
      <c r="P215" s="151">
        <f t="shared" si="181"/>
        <v>60000</v>
      </c>
      <c r="R215" s="190">
        <f>SUM(F215,G215,H215/2)</f>
        <v>60000</v>
      </c>
      <c r="S215" s="182"/>
      <c r="T215" s="182"/>
      <c r="U215" s="1612"/>
      <c r="V215" s="1612"/>
      <c r="W215" s="1612"/>
      <c r="X215" s="142">
        <f>SUM(H215/2,I215:O215)-AB215-AC215</f>
        <v>0</v>
      </c>
      <c r="Y215" s="725"/>
      <c r="Z215" s="142"/>
      <c r="AA215" s="725"/>
      <c r="AB215" s="128"/>
      <c r="AC215" s="154"/>
    </row>
    <row r="216" spans="2:29" outlineLevel="1">
      <c r="B216" s="138"/>
      <c r="C216" s="136" t="s">
        <v>209</v>
      </c>
      <c r="D216" s="138"/>
      <c r="E216" s="138"/>
      <c r="F216" s="139">
        <f t="shared" ref="F216:I216" si="209">SUM(F217:F219)</f>
        <v>564624</v>
      </c>
      <c r="G216" s="139">
        <f t="shared" si="209"/>
        <v>1129248</v>
      </c>
      <c r="H216" s="139">
        <f t="shared" si="209"/>
        <v>1129248</v>
      </c>
      <c r="I216" s="139">
        <f t="shared" si="209"/>
        <v>92352</v>
      </c>
      <c r="J216" s="139">
        <f>SUM(J217:J219)</f>
        <v>92352</v>
      </c>
      <c r="K216" s="139">
        <f t="shared" ref="K216:O216" si="210">SUM(K217:K219)</f>
        <v>46176</v>
      </c>
      <c r="L216" s="139">
        <f t="shared" si="210"/>
        <v>46176</v>
      </c>
      <c r="M216" s="139">
        <f t="shared" si="210"/>
        <v>46176</v>
      </c>
      <c r="N216" s="139">
        <f t="shared" si="210"/>
        <v>46176</v>
      </c>
      <c r="O216" s="139">
        <f t="shared" si="210"/>
        <v>46176</v>
      </c>
      <c r="P216" s="140">
        <f t="shared" si="181"/>
        <v>3238704</v>
      </c>
      <c r="R216" s="190">
        <f>SUM(F216,G216,H216/2)</f>
        <v>2258496</v>
      </c>
      <c r="S216" s="182"/>
      <c r="T216" s="182"/>
      <c r="U216" s="1612"/>
      <c r="V216" s="1612"/>
      <c r="W216" s="1612"/>
      <c r="X216" s="142">
        <f>SUM(H216/2,I216:O216)-AB216-AC216</f>
        <v>980208</v>
      </c>
      <c r="Y216" s="725"/>
      <c r="Z216" s="142"/>
      <c r="AA216" s="725"/>
      <c r="AB216" s="128"/>
      <c r="AC216" s="154"/>
    </row>
    <row r="217" spans="2:29" outlineLevel="1">
      <c r="B217" s="128" t="s">
        <v>5</v>
      </c>
      <c r="C217" s="126" t="s">
        <v>209</v>
      </c>
      <c r="D217" s="128" t="s">
        <v>210</v>
      </c>
      <c r="E217" s="128" t="s">
        <v>0</v>
      </c>
      <c r="F217" s="142">
        <f>'N_02 Vstupy'!$C$54</f>
        <v>69264</v>
      </c>
      <c r="G217" s="142">
        <f>'N_02 Vstupy'!$D$54</f>
        <v>138528</v>
      </c>
      <c r="H217" s="142">
        <f>'N_02 Vstupy'!$E$54</f>
        <v>138528</v>
      </c>
      <c r="I217" s="142">
        <f>'N_02 Vstupy'!$F$54</f>
        <v>92352</v>
      </c>
      <c r="J217" s="142">
        <f>'N_02 Vstupy'!$G$54</f>
        <v>92352</v>
      </c>
      <c r="K217" s="142">
        <f>'N_02 Vstupy'!$H$54</f>
        <v>46176</v>
      </c>
      <c r="L217" s="142">
        <f>'N_02 Vstupy'!$I$54</f>
        <v>46176</v>
      </c>
      <c r="M217" s="142">
        <f>'N_02 Vstupy'!$J$54</f>
        <v>46176</v>
      </c>
      <c r="N217" s="142">
        <f>'N_02 Vstupy'!$K$54</f>
        <v>46176</v>
      </c>
      <c r="O217" s="142">
        <f>'N_02 Vstupy'!$L$54</f>
        <v>46176</v>
      </c>
      <c r="P217" s="151">
        <f t="shared" si="181"/>
        <v>761904</v>
      </c>
      <c r="R217" s="190">
        <f>SUM(F217:H217)</f>
        <v>346320</v>
      </c>
      <c r="S217" s="182"/>
      <c r="T217" s="182"/>
      <c r="U217" s="1612"/>
      <c r="V217" s="1612"/>
      <c r="W217" s="1612"/>
      <c r="X217" s="142">
        <f>SUM(I217:O217)-AB217-AC217</f>
        <v>415584</v>
      </c>
      <c r="Y217" s="725"/>
      <c r="Z217" s="142"/>
      <c r="AA217" s="725"/>
      <c r="AB217" s="128"/>
      <c r="AC217" s="154"/>
    </row>
    <row r="218" spans="2:29" outlineLevel="1">
      <c r="B218" s="147" t="s">
        <v>5</v>
      </c>
      <c r="C218" s="146" t="s">
        <v>209</v>
      </c>
      <c r="D218" s="147" t="s">
        <v>211</v>
      </c>
      <c r="E218" s="147" t="s">
        <v>0</v>
      </c>
      <c r="F218" s="163">
        <f>'N_02 Vstupy'!$D$102</f>
        <v>495360</v>
      </c>
      <c r="G218" s="163">
        <f>'N_02 Vstupy'!$F$102</f>
        <v>990720</v>
      </c>
      <c r="H218" s="163">
        <f>'N_02 Vstupy'!$H$102</f>
        <v>990720</v>
      </c>
      <c r="I218" s="163">
        <f>'N_02 Vstupy'!$J$102</f>
        <v>0</v>
      </c>
      <c r="J218" s="148"/>
      <c r="K218" s="148"/>
      <c r="L218" s="148"/>
      <c r="M218" s="148"/>
      <c r="N218" s="148"/>
      <c r="O218" s="148"/>
      <c r="P218" s="152">
        <f t="shared" si="181"/>
        <v>2476800</v>
      </c>
      <c r="R218" s="126"/>
      <c r="S218" s="127"/>
      <c r="T218" s="127"/>
      <c r="U218" s="1612"/>
      <c r="V218" s="1612"/>
      <c r="W218" s="1612"/>
      <c r="X218" s="128"/>
      <c r="Y218" s="725"/>
      <c r="Z218" s="128"/>
      <c r="AA218" s="725"/>
      <c r="AB218" s="128"/>
      <c r="AC218" s="154"/>
    </row>
    <row r="219" spans="2:29" outlineLevel="1">
      <c r="B219" s="144" t="s">
        <v>5</v>
      </c>
      <c r="C219" s="123" t="s">
        <v>209</v>
      </c>
      <c r="D219" s="144" t="s">
        <v>408</v>
      </c>
      <c r="E219" s="144" t="s">
        <v>0</v>
      </c>
      <c r="F219" s="145"/>
      <c r="G219" s="145"/>
      <c r="H219" s="145"/>
      <c r="I219" s="145"/>
      <c r="J219" s="145"/>
      <c r="K219" s="145"/>
      <c r="L219" s="145"/>
      <c r="M219" s="145"/>
      <c r="N219" s="145"/>
      <c r="O219" s="145"/>
      <c r="P219" s="153">
        <f t="shared" si="181"/>
        <v>0</v>
      </c>
      <c r="R219" s="123"/>
      <c r="S219" s="1782"/>
      <c r="T219" s="1782"/>
      <c r="U219" s="1613"/>
      <c r="V219" s="1613"/>
      <c r="W219" s="1613"/>
      <c r="X219" s="144"/>
      <c r="Y219" s="1622"/>
      <c r="Z219" s="144"/>
      <c r="AA219" s="1622"/>
      <c r="AB219" s="144"/>
      <c r="AC219" s="155"/>
    </row>
  </sheetData>
  <conditionalFormatting sqref="R40:T40">
    <cfRule type="expression" dxfId="161" priority="4">
      <formula>"SUM(R38;R50)&gt;26500000"</formula>
    </cfRule>
  </conditionalFormatting>
  <conditionalFormatting sqref="R75:T75">
    <cfRule type="expression" dxfId="160" priority="1">
      <formula>"SUM(R38;R50)&gt;26500000"</formula>
    </cfRule>
  </conditionalFormatting>
  <conditionalFormatting sqref="S5:T5">
    <cfRule type="expression" dxfId="159" priority="2">
      <formula>"SUM(R38;R50)&gt;26500000"</formula>
    </cfRule>
  </conditionalFormatting>
  <pageMargins left="0.11811023622047245" right="0.11811023622047245" top="0.15748031496062992" bottom="0.15748031496062992" header="0.31496062992125984" footer="0.31496062992125984"/>
  <pageSetup paperSize="9" scale="4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Z212"/>
  <sheetViews>
    <sheetView zoomScale="120" zoomScaleNormal="120" workbookViewId="0">
      <pane xSplit="5" ySplit="3" topLeftCell="I36" activePane="bottomRight" state="frozen"/>
      <selection pane="topRight" activeCell="G1" sqref="G1"/>
      <selection pane="bottomLeft" activeCell="A3" sqref="A3"/>
      <selection pane="bottomRight" activeCell="F65" sqref="F65:H65"/>
    </sheetView>
  </sheetViews>
  <sheetFormatPr defaultColWidth="8.85546875" defaultRowHeight="12" outlineLevelRow="1"/>
  <cols>
    <col min="1" max="1" width="3.28515625" style="22" customWidth="1"/>
    <col min="2" max="2" width="6.140625" style="22" customWidth="1"/>
    <col min="3" max="3" width="18.7109375" style="22" customWidth="1"/>
    <col min="4" max="4" width="25.28515625" style="22" bestFit="1" customWidth="1"/>
    <col min="5" max="5" width="6.7109375" style="22" customWidth="1"/>
    <col min="6" max="16" width="15.7109375" style="46" customWidth="1"/>
    <col min="17" max="17" width="8.85546875" style="22"/>
    <col min="18" max="18" width="16.140625" style="22" customWidth="1"/>
    <col min="19" max="19" width="7.7109375" style="1601" customWidth="1"/>
    <col min="20" max="20" width="16.140625" style="22" customWidth="1"/>
    <col min="21" max="21" width="7.7109375" style="1601" customWidth="1"/>
    <col min="22" max="22" width="16.140625" style="22" customWidth="1"/>
    <col min="23" max="23" width="12.85546875" style="22" bestFit="1" customWidth="1"/>
    <col min="24" max="24" width="6.42578125" style="22" bestFit="1" customWidth="1"/>
    <col min="25" max="25" width="9.28515625" style="22" customWidth="1"/>
    <col min="26" max="26" width="14.140625" style="22" bestFit="1" customWidth="1"/>
    <col min="27" max="16384" width="8.85546875" style="22"/>
  </cols>
  <sheetData>
    <row r="1" spans="1:26" ht="15.75">
      <c r="A1" s="124" t="s">
        <v>536</v>
      </c>
    </row>
    <row r="2" spans="1:26">
      <c r="R2" s="125" t="s">
        <v>534</v>
      </c>
      <c r="S2" s="1602"/>
    </row>
    <row r="3" spans="1:26" s="57" customFormat="1" ht="12.75" thickBot="1">
      <c r="B3" s="995" t="s">
        <v>148</v>
      </c>
      <c r="C3" s="996" t="s">
        <v>6</v>
      </c>
      <c r="D3" s="995" t="s">
        <v>196</v>
      </c>
      <c r="E3" s="995" t="s">
        <v>127</v>
      </c>
      <c r="F3" s="995">
        <v>2024</v>
      </c>
      <c r="G3" s="995">
        <v>2025</v>
      </c>
      <c r="H3" s="995">
        <v>2026</v>
      </c>
      <c r="I3" s="995">
        <v>2027</v>
      </c>
      <c r="J3" s="995">
        <v>2028</v>
      </c>
      <c r="K3" s="995">
        <v>2029</v>
      </c>
      <c r="L3" s="995">
        <v>2030</v>
      </c>
      <c r="M3" s="995">
        <v>2031</v>
      </c>
      <c r="N3" s="995">
        <v>2032</v>
      </c>
      <c r="O3" s="995">
        <v>2033</v>
      </c>
      <c r="P3" s="997" t="s">
        <v>203</v>
      </c>
      <c r="R3" s="1039" t="s">
        <v>1570</v>
      </c>
      <c r="S3" s="1603" t="s">
        <v>119</v>
      </c>
      <c r="T3" s="1039" t="s">
        <v>1571</v>
      </c>
      <c r="U3" s="1603" t="s">
        <v>119</v>
      </c>
      <c r="V3" s="1039" t="s">
        <v>1612</v>
      </c>
      <c r="W3" s="1039" t="s">
        <v>479</v>
      </c>
      <c r="X3" s="1039" t="s">
        <v>535</v>
      </c>
      <c r="Y3" s="1039"/>
      <c r="Z3" s="1039" t="s">
        <v>1569</v>
      </c>
    </row>
    <row r="4" spans="1:26" customFormat="1" ht="15">
      <c r="B4" s="1030" t="s">
        <v>680</v>
      </c>
      <c r="C4" s="1031"/>
      <c r="D4" s="1031"/>
      <c r="E4" s="1031"/>
      <c r="F4" s="1032">
        <f t="shared" ref="F4:O4" si="0">SUM(F5,F16)</f>
        <v>963861.45</v>
      </c>
      <c r="G4" s="1032">
        <f t="shared" si="0"/>
        <v>9559753.9499999993</v>
      </c>
      <c r="H4" s="1032">
        <f t="shared" si="0"/>
        <v>13306392.658658482</v>
      </c>
      <c r="I4" s="1032">
        <f t="shared" si="0"/>
        <v>2782425.9790517641</v>
      </c>
      <c r="J4" s="1032">
        <f t="shared" si="0"/>
        <v>2917454.8277582997</v>
      </c>
      <c r="K4" s="1032">
        <f t="shared" si="0"/>
        <v>2937953.5968727083</v>
      </c>
      <c r="L4" s="1032">
        <f t="shared" si="0"/>
        <v>3751145.7059831251</v>
      </c>
      <c r="M4" s="1032">
        <f t="shared" si="0"/>
        <v>3882981.3596928627</v>
      </c>
      <c r="N4" s="1032">
        <f t="shared" si="0"/>
        <v>4017591.5492297201</v>
      </c>
      <c r="O4" s="1032">
        <f t="shared" si="0"/>
        <v>4155112.4031450958</v>
      </c>
      <c r="P4" s="1033">
        <f>SUM(F4:O4)</f>
        <v>48274673.480392061</v>
      </c>
      <c r="R4" s="1034">
        <f>SUM(R5,R16)</f>
        <v>21250355.729329243</v>
      </c>
      <c r="S4" s="1600">
        <f>R4/P4</f>
        <v>0.44019677808821628</v>
      </c>
      <c r="T4" s="1035">
        <f>SUM(T5,T16)</f>
        <v>27024317.751062818</v>
      </c>
      <c r="U4" s="1614">
        <f>T4/P4</f>
        <v>0.55980322191178378</v>
      </c>
      <c r="V4" s="1035"/>
      <c r="W4" s="1036">
        <f>SUM(W6:W34)</f>
        <v>0</v>
      </c>
      <c r="X4" s="1037">
        <f>SUM(X6:X34)</f>
        <v>0</v>
      </c>
      <c r="Y4" s="1038"/>
      <c r="Z4" s="1038">
        <f>SUM(R4,T4)-P4</f>
        <v>0</v>
      </c>
    </row>
    <row r="5" spans="1:26">
      <c r="B5" s="998" t="s">
        <v>1370</v>
      </c>
      <c r="C5" s="999"/>
      <c r="D5" s="999"/>
      <c r="E5" s="999"/>
      <c r="F5" s="1000">
        <f t="shared" ref="F5:O5" si="1">SUM(F6,F11,F14)</f>
        <v>0</v>
      </c>
      <c r="G5" s="1000">
        <f t="shared" si="1"/>
        <v>3602304</v>
      </c>
      <c r="H5" s="1000">
        <f t="shared" si="1"/>
        <v>8147088</v>
      </c>
      <c r="I5" s="1000">
        <f t="shared" si="1"/>
        <v>0</v>
      </c>
      <c r="J5" s="1000">
        <f t="shared" si="1"/>
        <v>0</v>
      </c>
      <c r="K5" s="1000">
        <f t="shared" si="1"/>
        <v>0</v>
      </c>
      <c r="L5" s="1000">
        <f t="shared" si="1"/>
        <v>0</v>
      </c>
      <c r="M5" s="1000">
        <f t="shared" si="1"/>
        <v>0</v>
      </c>
      <c r="N5" s="1000">
        <f t="shared" si="1"/>
        <v>0</v>
      </c>
      <c r="O5" s="1000">
        <f t="shared" si="1"/>
        <v>0</v>
      </c>
      <c r="P5" s="1001">
        <f>SUM(F5:O5)</f>
        <v>11749392</v>
      </c>
      <c r="R5" s="1027">
        <f>SUM(R6:R15)</f>
        <v>11749392</v>
      </c>
      <c r="S5" s="1604">
        <f t="shared" ref="S5:S34" si="2">R5/P5</f>
        <v>1</v>
      </c>
      <c r="T5" s="1005">
        <f>SUM(T6:T15)</f>
        <v>0</v>
      </c>
      <c r="U5" s="1615">
        <f t="shared" ref="U5:U34" si="3">T5/P5</f>
        <v>0</v>
      </c>
      <c r="V5" s="1005"/>
      <c r="W5" s="1022"/>
      <c r="X5" s="1023"/>
      <c r="Y5" s="46"/>
      <c r="Z5" s="46">
        <f>SUM(R5,T5)-P5</f>
        <v>0</v>
      </c>
    </row>
    <row r="6" spans="1:26" customFormat="1" ht="15" outlineLevel="1">
      <c r="B6" s="1002"/>
      <c r="C6" s="1003" t="s">
        <v>1426</v>
      </c>
      <c r="D6" s="1003"/>
      <c r="E6" s="1004"/>
      <c r="F6" s="1005">
        <f t="shared" ref="F6:O6" si="4">SUM(F7:F10)</f>
        <v>0</v>
      </c>
      <c r="G6" s="1005">
        <f t="shared" si="4"/>
        <v>3602304</v>
      </c>
      <c r="H6" s="1005">
        <f t="shared" si="4"/>
        <v>4561920</v>
      </c>
      <c r="I6" s="1005">
        <f t="shared" si="4"/>
        <v>0</v>
      </c>
      <c r="J6" s="1005">
        <f t="shared" si="4"/>
        <v>0</v>
      </c>
      <c r="K6" s="1005">
        <f t="shared" si="4"/>
        <v>0</v>
      </c>
      <c r="L6" s="1005">
        <f t="shared" si="4"/>
        <v>0</v>
      </c>
      <c r="M6" s="1005">
        <f t="shared" si="4"/>
        <v>0</v>
      </c>
      <c r="N6" s="1005">
        <f t="shared" si="4"/>
        <v>0</v>
      </c>
      <c r="O6" s="1005">
        <f t="shared" si="4"/>
        <v>0</v>
      </c>
      <c r="P6" s="1006">
        <f t="shared" ref="P6:P34" si="5">SUM(F6:O6)</f>
        <v>8164224</v>
      </c>
      <c r="R6" s="1016"/>
      <c r="S6" s="1605"/>
      <c r="T6" s="1009"/>
      <c r="U6" s="1616"/>
      <c r="V6" s="1009"/>
      <c r="W6" s="1017"/>
      <c r="X6" s="1018"/>
      <c r="Z6" s="46"/>
    </row>
    <row r="7" spans="1:26" outlineLevel="1">
      <c r="B7" s="1007" t="s">
        <v>7</v>
      </c>
      <c r="C7" s="1008" t="s">
        <v>205</v>
      </c>
      <c r="D7" s="1008" t="s">
        <v>198</v>
      </c>
      <c r="E7" s="1008" t="s">
        <v>0</v>
      </c>
      <c r="F7" s="1009"/>
      <c r="G7" s="1654">
        <f>'N_02 Vstupy'!$F$182*1.2</f>
        <v>0</v>
      </c>
      <c r="H7" s="1009"/>
      <c r="I7" s="1009"/>
      <c r="J7" s="1009"/>
      <c r="K7" s="1009"/>
      <c r="L7" s="1009"/>
      <c r="M7" s="1009"/>
      <c r="N7" s="1009"/>
      <c r="O7" s="1009"/>
      <c r="P7" s="1010">
        <f>SUM(F7:O7)</f>
        <v>0</v>
      </c>
      <c r="R7" s="1016">
        <f t="shared" ref="R7:R10" si="6">SUM(F7:H7)</f>
        <v>0</v>
      </c>
      <c r="S7" s="1605" t="e">
        <f t="shared" si="2"/>
        <v>#DIV/0!</v>
      </c>
      <c r="T7" s="1009">
        <f t="shared" ref="T7:T15" si="7">SUM(I7:O7)-W7-X7</f>
        <v>0</v>
      </c>
      <c r="U7" s="1616" t="e">
        <f t="shared" si="3"/>
        <v>#DIV/0!</v>
      </c>
      <c r="V7" s="1009"/>
      <c r="W7" s="1008"/>
      <c r="X7" s="1019"/>
      <c r="Z7" s="46">
        <f t="shared" ref="Z7:Z34" si="8">SUM(R7,T7)-P7</f>
        <v>0</v>
      </c>
    </row>
    <row r="8" spans="1:26" outlineLevel="1">
      <c r="B8" s="1007" t="s">
        <v>7</v>
      </c>
      <c r="C8" s="1008" t="s">
        <v>205</v>
      </c>
      <c r="D8" s="1008" t="s">
        <v>1615</v>
      </c>
      <c r="E8" s="1008" t="s">
        <v>0</v>
      </c>
      <c r="F8" s="1009"/>
      <c r="G8" s="1654">
        <f>('N_02 Vstupy'!$F$184*1.2)/2</f>
        <v>3602304</v>
      </c>
      <c r="H8" s="1654">
        <f>('N_02 Vstupy'!$F$184*1.2)/2</f>
        <v>3602304</v>
      </c>
      <c r="I8" s="1009"/>
      <c r="J8" s="1009"/>
      <c r="K8" s="1009"/>
      <c r="L8" s="1009"/>
      <c r="M8" s="1009"/>
      <c r="N8" s="1009"/>
      <c r="O8" s="1009"/>
      <c r="P8" s="1010">
        <f>SUM(F8:O8)</f>
        <v>7204608</v>
      </c>
      <c r="R8" s="1016">
        <f t="shared" si="6"/>
        <v>7204608</v>
      </c>
      <c r="S8" s="1605">
        <f t="shared" si="2"/>
        <v>1</v>
      </c>
      <c r="T8" s="1009">
        <f t="shared" si="7"/>
        <v>0</v>
      </c>
      <c r="U8" s="1616">
        <f t="shared" si="3"/>
        <v>0</v>
      </c>
      <c r="V8" s="1009"/>
      <c r="W8" s="1008"/>
      <c r="X8" s="1019"/>
      <c r="Z8" s="46">
        <f t="shared" si="8"/>
        <v>0</v>
      </c>
    </row>
    <row r="9" spans="1:26" outlineLevel="1">
      <c r="B9" s="1007" t="s">
        <v>7</v>
      </c>
      <c r="C9" s="1008" t="s">
        <v>1572</v>
      </c>
      <c r="D9" s="1008" t="s">
        <v>1616</v>
      </c>
      <c r="E9" s="1008" t="s">
        <v>0</v>
      </c>
      <c r="F9" s="1009"/>
      <c r="G9" s="1009"/>
      <c r="H9" s="1654">
        <f>'N_02 Vstupy'!$F$190*1.2</f>
        <v>300096</v>
      </c>
      <c r="I9" s="1009"/>
      <c r="J9" s="1009"/>
      <c r="K9" s="1009"/>
      <c r="L9" s="1009"/>
      <c r="M9" s="1009"/>
      <c r="N9" s="1009"/>
      <c r="O9" s="1009"/>
      <c r="P9" s="1010">
        <f t="shared" si="5"/>
        <v>300096</v>
      </c>
      <c r="R9" s="1016">
        <f t="shared" si="6"/>
        <v>300096</v>
      </c>
      <c r="S9" s="1605">
        <f t="shared" si="2"/>
        <v>1</v>
      </c>
      <c r="T9" s="1009">
        <f t="shared" si="7"/>
        <v>0</v>
      </c>
      <c r="U9" s="1616">
        <f t="shared" si="3"/>
        <v>0</v>
      </c>
      <c r="V9" s="1009"/>
      <c r="W9" s="1008"/>
      <c r="X9" s="1019"/>
      <c r="Z9" s="46">
        <f t="shared" si="8"/>
        <v>0</v>
      </c>
    </row>
    <row r="10" spans="1:26" outlineLevel="1">
      <c r="B10" s="1007" t="s">
        <v>7</v>
      </c>
      <c r="C10" s="1008" t="s">
        <v>1573</v>
      </c>
      <c r="D10" s="1008" t="s">
        <v>1614</v>
      </c>
      <c r="E10" s="1008" t="s">
        <v>0</v>
      </c>
      <c r="F10" s="1009"/>
      <c r="G10" s="1009"/>
      <c r="H10" s="1654">
        <f>'N_02 Vstupy'!$F$192*1.2</f>
        <v>659520</v>
      </c>
      <c r="I10" s="1009"/>
      <c r="J10" s="1009"/>
      <c r="K10" s="1009"/>
      <c r="L10" s="1009"/>
      <c r="M10" s="1009"/>
      <c r="N10" s="1009"/>
      <c r="O10" s="1009"/>
      <c r="P10" s="1010">
        <f t="shared" si="5"/>
        <v>659520</v>
      </c>
      <c r="R10" s="1016">
        <f t="shared" si="6"/>
        <v>659520</v>
      </c>
      <c r="S10" s="1605">
        <f t="shared" si="2"/>
        <v>1</v>
      </c>
      <c r="T10" s="1009">
        <f t="shared" si="7"/>
        <v>0</v>
      </c>
      <c r="U10" s="1616">
        <f t="shared" si="3"/>
        <v>0</v>
      </c>
      <c r="V10" s="1009"/>
      <c r="W10" s="1008"/>
      <c r="X10" s="1019"/>
      <c r="Z10" s="46">
        <f t="shared" si="8"/>
        <v>0</v>
      </c>
    </row>
    <row r="11" spans="1:26" outlineLevel="1" collapsed="1">
      <c r="B11" s="1002"/>
      <c r="C11" s="1003" t="s">
        <v>1427</v>
      </c>
      <c r="D11" s="1004"/>
      <c r="E11" s="1004"/>
      <c r="F11" s="1005">
        <f t="shared" ref="F11:O11" si="9">SUM(F12:F13)</f>
        <v>0</v>
      </c>
      <c r="G11" s="1005">
        <f t="shared" si="9"/>
        <v>0</v>
      </c>
      <c r="H11" s="1005">
        <f t="shared" si="9"/>
        <v>3585168</v>
      </c>
      <c r="I11" s="1005">
        <f t="shared" si="9"/>
        <v>0</v>
      </c>
      <c r="J11" s="1005">
        <f t="shared" si="9"/>
        <v>0</v>
      </c>
      <c r="K11" s="1005">
        <f t="shared" si="9"/>
        <v>0</v>
      </c>
      <c r="L11" s="1005">
        <f t="shared" si="9"/>
        <v>0</v>
      </c>
      <c r="M11" s="1005">
        <f t="shared" si="9"/>
        <v>0</v>
      </c>
      <c r="N11" s="1005">
        <f t="shared" si="9"/>
        <v>0</v>
      </c>
      <c r="O11" s="1005">
        <f t="shared" si="9"/>
        <v>0</v>
      </c>
      <c r="P11" s="1006">
        <f t="shared" si="5"/>
        <v>3585168</v>
      </c>
      <c r="R11" s="1007"/>
      <c r="S11" s="1605"/>
      <c r="T11" s="1009"/>
      <c r="U11" s="1616"/>
      <c r="V11" s="1009"/>
      <c r="W11" s="1008"/>
      <c r="X11" s="1019"/>
      <c r="Z11" s="46"/>
    </row>
    <row r="12" spans="1:26" outlineLevel="1">
      <c r="B12" s="1007" t="s">
        <v>7</v>
      </c>
      <c r="C12" s="1008" t="s">
        <v>206</v>
      </c>
      <c r="D12" s="1008" t="s">
        <v>1629</v>
      </c>
      <c r="E12" s="1008" t="s">
        <v>0</v>
      </c>
      <c r="F12" s="1009"/>
      <c r="G12" s="1009"/>
      <c r="H12" s="1009">
        <f>'N_02 Vstupy'!$I$146*1.2</f>
        <v>1170000</v>
      </c>
      <c r="I12" s="1009"/>
      <c r="J12" s="1009"/>
      <c r="K12" s="1009"/>
      <c r="L12" s="1009"/>
      <c r="M12" s="1009"/>
      <c r="N12" s="1009"/>
      <c r="O12" s="1009"/>
      <c r="P12" s="1010">
        <f t="shared" si="5"/>
        <v>1170000</v>
      </c>
      <c r="R12" s="1016">
        <f>SUM(F12:H12)</f>
        <v>1170000</v>
      </c>
      <c r="S12" s="1605">
        <f t="shared" si="2"/>
        <v>1</v>
      </c>
      <c r="T12" s="1009">
        <f t="shared" si="7"/>
        <v>0</v>
      </c>
      <c r="U12" s="1616">
        <f t="shared" si="3"/>
        <v>0</v>
      </c>
      <c r="V12" s="1009"/>
      <c r="W12" s="1008"/>
      <c r="X12" s="1019"/>
      <c r="Z12" s="46">
        <f t="shared" si="8"/>
        <v>0</v>
      </c>
    </row>
    <row r="13" spans="1:26" outlineLevel="1">
      <c r="B13" s="1007" t="s">
        <v>7</v>
      </c>
      <c r="C13" s="1008" t="s">
        <v>206</v>
      </c>
      <c r="D13" s="1008" t="s">
        <v>1630</v>
      </c>
      <c r="E13" s="1011" t="s">
        <v>1631</v>
      </c>
      <c r="F13" s="1009"/>
      <c r="G13" s="1009"/>
      <c r="H13" s="1654">
        <f>'N_02 Vstupy'!$F$193*1.2</f>
        <v>2415168</v>
      </c>
      <c r="I13" s="1009"/>
      <c r="J13" s="1009"/>
      <c r="K13" s="1009"/>
      <c r="L13" s="1009"/>
      <c r="M13" s="1009"/>
      <c r="N13" s="1009"/>
      <c r="O13" s="1009"/>
      <c r="P13" s="1010">
        <f t="shared" si="5"/>
        <v>2415168</v>
      </c>
      <c r="R13" s="1222">
        <f>SUM(F13:H13)</f>
        <v>2415168</v>
      </c>
      <c r="S13" s="1606">
        <f t="shared" si="2"/>
        <v>1</v>
      </c>
      <c r="T13" s="1012">
        <f t="shared" si="7"/>
        <v>0</v>
      </c>
      <c r="U13" s="1617">
        <f t="shared" si="3"/>
        <v>0</v>
      </c>
      <c r="V13" s="1009"/>
      <c r="W13" s="1008"/>
      <c r="X13" s="1019"/>
      <c r="Z13" s="46">
        <f t="shared" si="8"/>
        <v>0</v>
      </c>
    </row>
    <row r="14" spans="1:26" outlineLevel="1">
      <c r="B14" s="1002"/>
      <c r="C14" s="1003" t="s">
        <v>1428</v>
      </c>
      <c r="D14" s="1004"/>
      <c r="E14" s="1004"/>
      <c r="F14" s="1005">
        <f t="shared" ref="F14:O14" si="10">SUM(F15:F15)</f>
        <v>0</v>
      </c>
      <c r="G14" s="1005">
        <f t="shared" si="10"/>
        <v>0</v>
      </c>
      <c r="H14" s="1005">
        <f t="shared" si="10"/>
        <v>0</v>
      </c>
      <c r="I14" s="1005">
        <f t="shared" si="10"/>
        <v>0</v>
      </c>
      <c r="J14" s="1005">
        <f t="shared" si="10"/>
        <v>0</v>
      </c>
      <c r="K14" s="1005">
        <f t="shared" si="10"/>
        <v>0</v>
      </c>
      <c r="L14" s="1005">
        <f t="shared" si="10"/>
        <v>0</v>
      </c>
      <c r="M14" s="1005">
        <f t="shared" si="10"/>
        <v>0</v>
      </c>
      <c r="N14" s="1005">
        <f t="shared" si="10"/>
        <v>0</v>
      </c>
      <c r="O14" s="1005">
        <f t="shared" si="10"/>
        <v>0</v>
      </c>
      <c r="P14" s="1006">
        <f t="shared" si="5"/>
        <v>0</v>
      </c>
      <c r="R14" s="1007"/>
      <c r="S14" s="1605"/>
      <c r="T14" s="1009"/>
      <c r="U14" s="1616"/>
      <c r="V14" s="1009"/>
      <c r="W14" s="1008"/>
      <c r="X14" s="1019"/>
      <c r="Z14" s="46"/>
    </row>
    <row r="15" spans="1:26" outlineLevel="1">
      <c r="B15" s="1007" t="s">
        <v>7</v>
      </c>
      <c r="C15" s="1008" t="s">
        <v>208</v>
      </c>
      <c r="D15" s="1008" t="s">
        <v>1603</v>
      </c>
      <c r="E15" s="1008" t="s">
        <v>0</v>
      </c>
      <c r="F15" s="1009"/>
      <c r="G15" s="1009"/>
      <c r="H15" s="1009"/>
      <c r="I15" s="1009"/>
      <c r="J15" s="1009"/>
      <c r="K15" s="1009"/>
      <c r="L15" s="1009"/>
      <c r="M15" s="1009"/>
      <c r="N15" s="1009"/>
      <c r="O15" s="1009"/>
      <c r="P15" s="1010">
        <f t="shared" si="5"/>
        <v>0</v>
      </c>
      <c r="R15" s="1016">
        <f>SUM(F15:H15)</f>
        <v>0</v>
      </c>
      <c r="S15" s="1605" t="e">
        <f t="shared" si="2"/>
        <v>#DIV/0!</v>
      </c>
      <c r="T15" s="1009">
        <f t="shared" si="7"/>
        <v>0</v>
      </c>
      <c r="U15" s="1616" t="e">
        <f t="shared" si="3"/>
        <v>#DIV/0!</v>
      </c>
      <c r="V15" s="1009"/>
      <c r="W15" s="1008"/>
      <c r="X15" s="1019"/>
      <c r="Z15" s="46">
        <f t="shared" si="8"/>
        <v>0</v>
      </c>
    </row>
    <row r="16" spans="1:26" outlineLevel="1">
      <c r="B16" s="998" t="s">
        <v>1371</v>
      </c>
      <c r="C16" s="999"/>
      <c r="D16" s="999"/>
      <c r="E16" s="1000"/>
      <c r="F16" s="1000">
        <f t="shared" ref="F16:O16" si="11">F17+F27+F31+F33</f>
        <v>963861.45</v>
      </c>
      <c r="G16" s="1000">
        <f t="shared" si="11"/>
        <v>5957449.9500000002</v>
      </c>
      <c r="H16" s="1000">
        <f t="shared" si="11"/>
        <v>5159304.6586584821</v>
      </c>
      <c r="I16" s="1000">
        <f t="shared" si="11"/>
        <v>2782425.9790517641</v>
      </c>
      <c r="J16" s="1000">
        <f t="shared" si="11"/>
        <v>2917454.8277582997</v>
      </c>
      <c r="K16" s="1000">
        <f t="shared" si="11"/>
        <v>2937953.5968727083</v>
      </c>
      <c r="L16" s="1000">
        <f t="shared" si="11"/>
        <v>3751145.7059831251</v>
      </c>
      <c r="M16" s="1000">
        <f t="shared" si="11"/>
        <v>3882981.3596928627</v>
      </c>
      <c r="N16" s="1000">
        <f t="shared" si="11"/>
        <v>4017591.5492297201</v>
      </c>
      <c r="O16" s="1000">
        <f t="shared" si="11"/>
        <v>4155112.4031450958</v>
      </c>
      <c r="P16" s="1001">
        <f t="shared" si="5"/>
        <v>36525281.480392061</v>
      </c>
      <c r="R16" s="1028">
        <f>SUM(R17:R34)</f>
        <v>9500963.7293292414</v>
      </c>
      <c r="S16" s="1607">
        <f t="shared" si="2"/>
        <v>0.26012020562879612</v>
      </c>
      <c r="T16" s="1029">
        <f>SUM(T17:T34)</f>
        <v>27024317.751062818</v>
      </c>
      <c r="U16" s="1618">
        <f t="shared" si="3"/>
        <v>0.73987979437120388</v>
      </c>
      <c r="V16" s="1029"/>
      <c r="W16" s="1024"/>
      <c r="X16" s="1025"/>
      <c r="Z16" s="46">
        <f t="shared" si="8"/>
        <v>0</v>
      </c>
    </row>
    <row r="17" spans="2:26" outlineLevel="1">
      <c r="B17" s="1002"/>
      <c r="C17" s="1003" t="s">
        <v>1429</v>
      </c>
      <c r="D17" s="1004"/>
      <c r="E17" s="1004"/>
      <c r="F17" s="1005">
        <f>SUM(F18:F26)</f>
        <v>0</v>
      </c>
      <c r="G17" s="1005">
        <f t="shared" ref="G17:O17" si="12">SUM(G18:G26)</f>
        <v>3420000</v>
      </c>
      <c r="H17" s="1005">
        <f t="shared" si="12"/>
        <v>961069.70865848172</v>
      </c>
      <c r="I17" s="1005">
        <f t="shared" si="12"/>
        <v>2051898.9790517639</v>
      </c>
      <c r="J17" s="1005">
        <f t="shared" si="12"/>
        <v>2186927.8277582997</v>
      </c>
      <c r="K17" s="1005">
        <f t="shared" si="12"/>
        <v>2313602.5968727083</v>
      </c>
      <c r="L17" s="1005">
        <f t="shared" si="12"/>
        <v>3126794.7059831251</v>
      </c>
      <c r="M17" s="1005">
        <f t="shared" si="12"/>
        <v>3258630.3596928627</v>
      </c>
      <c r="N17" s="1005">
        <f t="shared" si="12"/>
        <v>3393240.5492297201</v>
      </c>
      <c r="O17" s="1005">
        <f t="shared" si="12"/>
        <v>3530761.4031450958</v>
      </c>
      <c r="P17" s="1006">
        <f t="shared" si="5"/>
        <v>24242926.130392056</v>
      </c>
      <c r="R17" s="1007"/>
      <c r="S17" s="1605"/>
      <c r="T17" s="1008"/>
      <c r="U17" s="1616"/>
      <c r="V17" s="1008"/>
      <c r="W17" s="1008"/>
      <c r="X17" s="1019"/>
      <c r="Z17" s="46"/>
    </row>
    <row r="18" spans="2:26" outlineLevel="1">
      <c r="B18" s="1007" t="s">
        <v>5</v>
      </c>
      <c r="C18" s="1008" t="s">
        <v>205</v>
      </c>
      <c r="D18" s="1008" t="s">
        <v>3</v>
      </c>
      <c r="E18" s="1008" t="s">
        <v>0</v>
      </c>
      <c r="F18" s="1009"/>
      <c r="G18" s="1654">
        <f>'N_02 Vstupy'!$F$178*1.2</f>
        <v>3420000</v>
      </c>
      <c r="H18" s="1009"/>
      <c r="I18" s="1009"/>
      <c r="J18" s="1009"/>
      <c r="K18" s="1009"/>
      <c r="L18" s="1654">
        <f>'N_02 Vstupy'!$H$181*1.2</f>
        <v>684000</v>
      </c>
      <c r="M18" s="1654">
        <f>'N_02 Vstupy'!$H$181*1.2</f>
        <v>684000</v>
      </c>
      <c r="N18" s="1654">
        <f>'N_02 Vstupy'!$H$181*1.2</f>
        <v>684000</v>
      </c>
      <c r="O18" s="1654">
        <f>'N_02 Vstupy'!$H$181*1.2</f>
        <v>684000</v>
      </c>
      <c r="P18" s="1010">
        <f>SUM(F18:O18)</f>
        <v>6156000</v>
      </c>
      <c r="R18" s="1016">
        <f>SUM(F18:H18)</f>
        <v>3420000</v>
      </c>
      <c r="S18" s="1605">
        <f>R18/P18</f>
        <v>0.55555555555555558</v>
      </c>
      <c r="T18" s="1009">
        <f>SUM(I18:O18)-W18-X18</f>
        <v>2736000</v>
      </c>
      <c r="U18" s="1616">
        <f>T18/P18</f>
        <v>0.44444444444444442</v>
      </c>
      <c r="V18" s="1009"/>
      <c r="W18" s="1008"/>
      <c r="X18" s="1019"/>
      <c r="Z18" s="46">
        <f>SUM(R18,T18)-P18</f>
        <v>0</v>
      </c>
    </row>
    <row r="19" spans="2:26" outlineLevel="1">
      <c r="B19" s="1007" t="s">
        <v>5</v>
      </c>
      <c r="C19" s="1008" t="s">
        <v>205</v>
      </c>
      <c r="D19" s="1008" t="s">
        <v>1425</v>
      </c>
      <c r="E19" s="1008" t="s">
        <v>0</v>
      </c>
      <c r="F19" s="1008"/>
      <c r="G19" s="1009"/>
      <c r="H19" s="1654">
        <f>'N_02 Vstupy'!$G$183*1.2</f>
        <v>0</v>
      </c>
      <c r="I19" s="1654">
        <f>'N_02 Vstupy'!$G$183*1.2</f>
        <v>0</v>
      </c>
      <c r="J19" s="1654">
        <f>'N_02 Vstupy'!$G$183*1.2</f>
        <v>0</v>
      </c>
      <c r="K19" s="1654">
        <f>'N_02 Vstupy'!$G$183*1.2</f>
        <v>0</v>
      </c>
      <c r="L19" s="1654">
        <f>'N_02 Vstupy'!$G$183*1.2</f>
        <v>0</v>
      </c>
      <c r="M19" s="1654">
        <f>'N_02 Vstupy'!$G$183*1.2</f>
        <v>0</v>
      </c>
      <c r="N19" s="1654">
        <f>'N_02 Vstupy'!$G$183*1.2</f>
        <v>0</v>
      </c>
      <c r="O19" s="1654">
        <f>'N_02 Vstupy'!$G$183*1.2</f>
        <v>0</v>
      </c>
      <c r="P19" s="1010">
        <f t="shared" si="5"/>
        <v>0</v>
      </c>
      <c r="R19" s="1016">
        <f>SUM(F19:H19)</f>
        <v>0</v>
      </c>
      <c r="S19" s="1605" t="e">
        <f t="shared" si="2"/>
        <v>#DIV/0!</v>
      </c>
      <c r="T19" s="1009">
        <f t="shared" ref="T19:T20" si="13">SUM(I19:O19)-W19-X19</f>
        <v>0</v>
      </c>
      <c r="U19" s="1616" t="e">
        <f t="shared" si="3"/>
        <v>#DIV/0!</v>
      </c>
      <c r="V19" s="1009"/>
      <c r="W19" s="1008"/>
      <c r="X19" s="1019"/>
      <c r="Z19" s="46">
        <f t="shared" si="8"/>
        <v>0</v>
      </c>
    </row>
    <row r="20" spans="2:26" outlineLevel="1">
      <c r="B20" s="1007" t="s">
        <v>5</v>
      </c>
      <c r="C20" s="1008" t="s">
        <v>205</v>
      </c>
      <c r="D20" s="1008" t="s">
        <v>259</v>
      </c>
      <c r="E20" s="1008" t="s">
        <v>0</v>
      </c>
      <c r="F20" s="1009"/>
      <c r="G20" s="1009"/>
      <c r="H20" s="1654">
        <f>'N_02 Vstupy'!$G$180*1.2</f>
        <v>0</v>
      </c>
      <c r="I20" s="1654">
        <f>'N_02 Vstupy'!$G$180*1.2</f>
        <v>0</v>
      </c>
      <c r="J20" s="1654">
        <f>'N_02 Vstupy'!$G$180*1.2</f>
        <v>0</v>
      </c>
      <c r="K20" s="1654">
        <f>'N_02 Vstupy'!$G$180*1.2</f>
        <v>0</v>
      </c>
      <c r="L20" s="1654">
        <f>'N_02 Vstupy'!$G$180*1.2</f>
        <v>0</v>
      </c>
      <c r="M20" s="1654">
        <f>'N_02 Vstupy'!$G$180*1.2</f>
        <v>0</v>
      </c>
      <c r="N20" s="1654">
        <f>'N_02 Vstupy'!$G$180*1.2</f>
        <v>0</v>
      </c>
      <c r="O20" s="1654">
        <f>'N_02 Vstupy'!$G$180*1.2</f>
        <v>0</v>
      </c>
      <c r="P20" s="1010">
        <f t="shared" si="5"/>
        <v>0</v>
      </c>
      <c r="R20" s="1016">
        <f>SUM(F20:H20)</f>
        <v>0</v>
      </c>
      <c r="S20" s="1605" t="e">
        <f t="shared" si="2"/>
        <v>#DIV/0!</v>
      </c>
      <c r="T20" s="1009">
        <f t="shared" si="13"/>
        <v>0</v>
      </c>
      <c r="U20" s="1616" t="e">
        <f t="shared" si="3"/>
        <v>#DIV/0!</v>
      </c>
      <c r="V20" s="1009"/>
      <c r="W20" s="1008"/>
      <c r="X20" s="1019"/>
      <c r="Z20" s="46">
        <f t="shared" si="8"/>
        <v>0</v>
      </c>
    </row>
    <row r="21" spans="2:26" outlineLevel="1">
      <c r="B21" s="1007" t="s">
        <v>5</v>
      </c>
      <c r="C21" s="1008" t="s">
        <v>205</v>
      </c>
      <c r="D21" s="1008" t="s">
        <v>1568</v>
      </c>
      <c r="E21" s="1008" t="s">
        <v>0</v>
      </c>
      <c r="F21" s="1008"/>
      <c r="G21" s="1009"/>
      <c r="H21" s="1654">
        <f>('N_02 Vstupy'!$G$185*1.2)/2</f>
        <v>900000</v>
      </c>
      <c r="I21" s="1654">
        <f>'N_02 Vstupy'!$G$185*1.2</f>
        <v>1800000</v>
      </c>
      <c r="J21" s="1654">
        <f>'N_02 Vstupy'!$G$185*1.2</f>
        <v>1800000</v>
      </c>
      <c r="K21" s="1654">
        <f>'N_02 Vstupy'!$G$185*1.2</f>
        <v>1800000</v>
      </c>
      <c r="L21" s="1654">
        <f>'N_02 Vstupy'!$G$185*1.2</f>
        <v>1800000</v>
      </c>
      <c r="M21" s="1654">
        <f>'N_02 Vstupy'!$G$185*1.2</f>
        <v>1800000</v>
      </c>
      <c r="N21" s="1654">
        <f>'N_02 Vstupy'!$G$185*1.2</f>
        <v>1800000</v>
      </c>
      <c r="O21" s="1654">
        <f>'N_02 Vstupy'!$G$185*1.2</f>
        <v>1800000</v>
      </c>
      <c r="P21" s="1010">
        <f t="shared" si="5"/>
        <v>13500000</v>
      </c>
      <c r="R21" s="1016">
        <f>SUM(F21:G21,H21/2)</f>
        <v>450000</v>
      </c>
      <c r="S21" s="1605">
        <f t="shared" si="2"/>
        <v>3.3333333333333333E-2</v>
      </c>
      <c r="T21" s="1009">
        <f>SUM(H21/2,I21:O21)</f>
        <v>13050000</v>
      </c>
      <c r="U21" s="1616">
        <f t="shared" si="3"/>
        <v>0.96666666666666667</v>
      </c>
      <c r="V21" s="1009"/>
      <c r="W21" s="1008"/>
      <c r="X21" s="1019"/>
      <c r="Z21" s="46">
        <f t="shared" si="8"/>
        <v>0</v>
      </c>
    </row>
    <row r="22" spans="2:26" outlineLevel="1">
      <c r="B22" s="1007" t="s">
        <v>5</v>
      </c>
      <c r="C22" s="1008" t="s">
        <v>205</v>
      </c>
      <c r="D22" s="1008" t="s">
        <v>1660</v>
      </c>
      <c r="E22" s="1008" t="s">
        <v>0</v>
      </c>
      <c r="F22" s="1008"/>
      <c r="G22" s="1009"/>
      <c r="H22" s="1009">
        <f>'N_02 Vstupy'!$G$186*1.2</f>
        <v>0</v>
      </c>
      <c r="I22" s="1009">
        <f>'N_02 Vstupy'!$G$186*1.2</f>
        <v>0</v>
      </c>
      <c r="J22" s="1009">
        <f>'N_02 Vstupy'!$G$186*1.2</f>
        <v>0</v>
      </c>
      <c r="K22" s="1009">
        <f>'N_02 Vstupy'!$G$186*1.2</f>
        <v>0</v>
      </c>
      <c r="L22" s="1009">
        <f>'N_02 Vstupy'!$G$186*1.2</f>
        <v>0</v>
      </c>
      <c r="M22" s="1009">
        <f>'N_02 Vstupy'!$G$186*1.2</f>
        <v>0</v>
      </c>
      <c r="N22" s="1009">
        <f>'N_02 Vstupy'!$G$186*1.2</f>
        <v>0</v>
      </c>
      <c r="O22" s="1009">
        <f>'N_02 Vstupy'!$G$186*1.2</f>
        <v>0</v>
      </c>
      <c r="P22" s="1010">
        <f t="shared" si="5"/>
        <v>0</v>
      </c>
      <c r="R22" s="1016">
        <f>SUM(F22:G22,H22/2)</f>
        <v>0</v>
      </c>
      <c r="S22" s="1605" t="e">
        <f t="shared" si="2"/>
        <v>#DIV/0!</v>
      </c>
      <c r="T22" s="1009">
        <f>SUM(H22/2,I22:O22)</f>
        <v>0</v>
      </c>
      <c r="U22" s="1616" t="e">
        <f t="shared" si="3"/>
        <v>#DIV/0!</v>
      </c>
      <c r="V22" s="1009"/>
      <c r="W22" s="1008"/>
      <c r="X22" s="1019"/>
      <c r="Z22" s="46">
        <f t="shared" si="8"/>
        <v>0</v>
      </c>
    </row>
    <row r="23" spans="2:26" outlineLevel="1">
      <c r="B23" s="1007" t="s">
        <v>5</v>
      </c>
      <c r="C23" s="1008" t="s">
        <v>205</v>
      </c>
      <c r="D23" s="1008" t="s">
        <v>10</v>
      </c>
      <c r="E23" s="1008" t="s">
        <v>0</v>
      </c>
      <c r="F23" s="1009"/>
      <c r="G23" s="1009"/>
      <c r="H23" s="1009"/>
      <c r="I23" s="1009"/>
      <c r="J23" s="1009"/>
      <c r="K23" s="1009"/>
      <c r="L23" s="1009"/>
      <c r="M23" s="1009"/>
      <c r="N23" s="1009"/>
      <c r="O23" s="1009"/>
      <c r="P23" s="1010">
        <f t="shared" si="5"/>
        <v>0</v>
      </c>
      <c r="R23" s="1016">
        <f t="shared" ref="R23:R34" si="14">SUM(F23:G23,H23/2)</f>
        <v>0</v>
      </c>
      <c r="S23" s="1605" t="e">
        <f t="shared" si="2"/>
        <v>#DIV/0!</v>
      </c>
      <c r="T23" s="1009">
        <f t="shared" ref="T23:T34" si="15">SUM(H23/2,I23:O23)</f>
        <v>0</v>
      </c>
      <c r="U23" s="1616" t="e">
        <f t="shared" si="3"/>
        <v>#DIV/0!</v>
      </c>
      <c r="V23" s="1009"/>
      <c r="W23" s="1008"/>
      <c r="X23" s="1019"/>
      <c r="Z23" s="46">
        <f t="shared" si="8"/>
        <v>0</v>
      </c>
    </row>
    <row r="24" spans="2:26" outlineLevel="1">
      <c r="B24" s="1007" t="s">
        <v>5</v>
      </c>
      <c r="C24" s="1008" t="s">
        <v>208</v>
      </c>
      <c r="D24" s="1008" t="s">
        <v>1567</v>
      </c>
      <c r="E24" s="1008" t="s">
        <v>0</v>
      </c>
      <c r="F24" s="1008"/>
      <c r="G24" s="1009"/>
      <c r="H24" s="1009"/>
      <c r="I24" s="1009"/>
      <c r="J24" s="1009"/>
      <c r="K24" s="1009"/>
      <c r="L24" s="1009"/>
      <c r="M24" s="1009"/>
      <c r="N24" s="1009"/>
      <c r="O24" s="1009"/>
      <c r="P24" s="1010">
        <f t="shared" si="5"/>
        <v>0</v>
      </c>
      <c r="R24" s="1016">
        <f t="shared" si="14"/>
        <v>0</v>
      </c>
      <c r="S24" s="1605"/>
      <c r="T24" s="1009">
        <f t="shared" si="15"/>
        <v>0</v>
      </c>
      <c r="U24" s="1616"/>
      <c r="V24" s="1009"/>
      <c r="W24" s="1008"/>
      <c r="X24" s="1019"/>
      <c r="Z24" s="46">
        <f t="shared" si="8"/>
        <v>0</v>
      </c>
    </row>
    <row r="25" spans="2:26" outlineLevel="1">
      <c r="B25" s="1007" t="s">
        <v>5</v>
      </c>
      <c r="C25" s="1008" t="s">
        <v>208</v>
      </c>
      <c r="D25" s="1008" t="s">
        <v>1562</v>
      </c>
      <c r="E25" s="1008" t="s">
        <v>0</v>
      </c>
      <c r="F25" s="1008"/>
      <c r="G25" s="1009"/>
      <c r="H25" s="1009"/>
      <c r="I25" s="1009"/>
      <c r="J25" s="1009"/>
      <c r="K25" s="1009"/>
      <c r="L25" s="1009"/>
      <c r="M25" s="1009"/>
      <c r="N25" s="1009"/>
      <c r="O25" s="1009"/>
      <c r="P25" s="1010">
        <f t="shared" si="5"/>
        <v>0</v>
      </c>
      <c r="R25" s="1016">
        <f t="shared" si="14"/>
        <v>0</v>
      </c>
      <c r="S25" s="1605"/>
      <c r="T25" s="1009">
        <f t="shared" si="15"/>
        <v>0</v>
      </c>
      <c r="U25" s="1616"/>
      <c r="V25" s="1009"/>
      <c r="W25" s="1008"/>
      <c r="X25" s="1019"/>
      <c r="Z25" s="46">
        <f t="shared" si="8"/>
        <v>0</v>
      </c>
    </row>
    <row r="26" spans="2:26" outlineLevel="1">
      <c r="B26" s="1007" t="s">
        <v>5</v>
      </c>
      <c r="C26" s="1008" t="s">
        <v>208</v>
      </c>
      <c r="D26" s="1008" t="s">
        <v>1563</v>
      </c>
      <c r="E26" s="1011" t="s">
        <v>0</v>
      </c>
      <c r="F26" s="1008"/>
      <c r="G26" s="1009"/>
      <c r="H26" s="1009">
        <f>'N_02 Vstupy'!C154</f>
        <v>61069.708658481672</v>
      </c>
      <c r="I26" s="1009">
        <f>'N_02 Vstupy'!D154</f>
        <v>251898.97905176392</v>
      </c>
      <c r="J26" s="1009">
        <f>'N_02 Vstupy'!E154</f>
        <v>386927.82775829965</v>
      </c>
      <c r="K26" s="1009">
        <f>'N_02 Vstupy'!F154</f>
        <v>513602.59687270818</v>
      </c>
      <c r="L26" s="1009">
        <f>'N_02 Vstupy'!G154</f>
        <v>642794.70598312526</v>
      </c>
      <c r="M26" s="1009">
        <f>'N_02 Vstupy'!H154</f>
        <v>774630.35969286261</v>
      </c>
      <c r="N26" s="1009">
        <f>'N_02 Vstupy'!I154</f>
        <v>909240.54922972014</v>
      </c>
      <c r="O26" s="1009">
        <f>'N_02 Vstupy'!J154</f>
        <v>1046761.4031450959</v>
      </c>
      <c r="P26" s="1010">
        <f t="shared" si="5"/>
        <v>4586926.1303920578</v>
      </c>
      <c r="R26" s="1222">
        <f t="shared" si="14"/>
        <v>30534.854329240836</v>
      </c>
      <c r="S26" s="1606">
        <f t="shared" si="2"/>
        <v>6.6569317798520844E-3</v>
      </c>
      <c r="T26" s="1012">
        <f t="shared" si="15"/>
        <v>4556391.2760628164</v>
      </c>
      <c r="U26" s="1617">
        <f t="shared" si="3"/>
        <v>0.99334306822014773</v>
      </c>
      <c r="V26" s="1012"/>
      <c r="W26" s="1008"/>
      <c r="X26" s="1019"/>
      <c r="Z26" s="46">
        <f t="shared" si="8"/>
        <v>0</v>
      </c>
    </row>
    <row r="27" spans="2:26" outlineLevel="1">
      <c r="B27" s="1002"/>
      <c r="C27" s="1003" t="s">
        <v>1372</v>
      </c>
      <c r="D27" s="1004"/>
      <c r="E27" s="1004"/>
      <c r="F27" s="1005">
        <f>SUM(F28:F30)</f>
        <v>369429.45</v>
      </c>
      <c r="G27" s="1005">
        <f t="shared" ref="G27:O27" si="16">SUM(G28:G30)</f>
        <v>869701.95</v>
      </c>
      <c r="H27" s="1005">
        <f t="shared" si="16"/>
        <v>1093834.95</v>
      </c>
      <c r="I27" s="1005">
        <f t="shared" si="16"/>
        <v>670527</v>
      </c>
      <c r="J27" s="1005">
        <f t="shared" si="16"/>
        <v>670527</v>
      </c>
      <c r="K27" s="1005">
        <f t="shared" si="16"/>
        <v>624351</v>
      </c>
      <c r="L27" s="1005">
        <f t="shared" si="16"/>
        <v>624351</v>
      </c>
      <c r="M27" s="1005">
        <f t="shared" si="16"/>
        <v>624351</v>
      </c>
      <c r="N27" s="1005">
        <f t="shared" si="16"/>
        <v>624351</v>
      </c>
      <c r="O27" s="1005">
        <f t="shared" si="16"/>
        <v>624351</v>
      </c>
      <c r="P27" s="1006">
        <f t="shared" si="5"/>
        <v>6795775.3499999996</v>
      </c>
      <c r="R27" s="1007"/>
      <c r="S27" s="1605"/>
      <c r="T27" s="1009"/>
      <c r="U27" s="1616"/>
      <c r="V27" s="1009"/>
      <c r="W27" s="1008"/>
      <c r="X27" s="1019"/>
      <c r="Z27" s="46"/>
    </row>
    <row r="28" spans="2:26" outlineLevel="1">
      <c r="B28" s="1007" t="s">
        <v>5</v>
      </c>
      <c r="C28" s="1008" t="s">
        <v>1575</v>
      </c>
      <c r="D28" s="1008" t="s">
        <v>210</v>
      </c>
      <c r="E28" s="1008" t="s">
        <v>0</v>
      </c>
      <c r="F28" s="1009">
        <f>'N_02 Vstupy'!$C$54</f>
        <v>69264</v>
      </c>
      <c r="G28" s="1009">
        <f>'N_02 Vstupy'!$D$54</f>
        <v>138528</v>
      </c>
      <c r="H28" s="1009">
        <f>'N_02 Vstupy'!$E$54</f>
        <v>138528</v>
      </c>
      <c r="I28" s="1009">
        <f>'N_02 Vstupy'!$F$54</f>
        <v>92352</v>
      </c>
      <c r="J28" s="1009">
        <f>'N_02 Vstupy'!$G$54</f>
        <v>92352</v>
      </c>
      <c r="K28" s="1009">
        <f>'N_02 Vstupy'!$H$54</f>
        <v>46176</v>
      </c>
      <c r="L28" s="1009">
        <f>'N_02 Vstupy'!$I$54</f>
        <v>46176</v>
      </c>
      <c r="M28" s="1009">
        <f>'N_02 Vstupy'!$J$54</f>
        <v>46176</v>
      </c>
      <c r="N28" s="1009">
        <f>'N_02 Vstupy'!$K$54</f>
        <v>46176</v>
      </c>
      <c r="O28" s="1009">
        <f>'N_02 Vstupy'!$L$54</f>
        <v>46176</v>
      </c>
      <c r="P28" s="1010">
        <f t="shared" si="5"/>
        <v>761904</v>
      </c>
      <c r="R28" s="1016">
        <f t="shared" si="14"/>
        <v>277056</v>
      </c>
      <c r="S28" s="1605">
        <f t="shared" si="2"/>
        <v>0.36363636363636365</v>
      </c>
      <c r="T28" s="1009">
        <f t="shared" si="15"/>
        <v>484848</v>
      </c>
      <c r="U28" s="1616">
        <f t="shared" si="3"/>
        <v>0.63636363636363635</v>
      </c>
      <c r="V28" s="1009"/>
      <c r="W28" s="1008"/>
      <c r="X28" s="1019"/>
      <c r="Z28" s="46">
        <f t="shared" si="8"/>
        <v>0</v>
      </c>
    </row>
    <row r="29" spans="2:26" outlineLevel="1">
      <c r="B29" s="1007" t="s">
        <v>5</v>
      </c>
      <c r="C29" s="1008" t="s">
        <v>1575</v>
      </c>
      <c r="D29" s="1008" t="s">
        <v>404</v>
      </c>
      <c r="E29" s="1008" t="s">
        <v>0</v>
      </c>
      <c r="F29" s="1009">
        <f>'N_02 Vstupy'!$C$58</f>
        <v>300165.45</v>
      </c>
      <c r="G29" s="1009">
        <f>'N_02 Vstupy'!$D$58</f>
        <v>731173.95</v>
      </c>
      <c r="H29" s="1009">
        <f>'N_02 Vstupy'!$E$58</f>
        <v>377131.95</v>
      </c>
      <c r="I29" s="1009">
        <f>'N_02 Vstupy'!$F$58</f>
        <v>0</v>
      </c>
      <c r="J29" s="1009">
        <f>'N_02 Vstupy'!$G$58</f>
        <v>0</v>
      </c>
      <c r="K29" s="1009">
        <f>'N_02 Vstupy'!$H$58</f>
        <v>0</v>
      </c>
      <c r="L29" s="1009">
        <f>'N_02 Vstupy'!$I$58</f>
        <v>0</v>
      </c>
      <c r="M29" s="1009">
        <f>'N_02 Vstupy'!$J$58</f>
        <v>0</v>
      </c>
      <c r="N29" s="1009">
        <f>'N_02 Vstupy'!$K$58</f>
        <v>0</v>
      </c>
      <c r="O29" s="1009">
        <f>'N_02 Vstupy'!$L$58</f>
        <v>0</v>
      </c>
      <c r="P29" s="1010">
        <f t="shared" si="5"/>
        <v>1408471.3499999999</v>
      </c>
      <c r="R29" s="1016">
        <f t="shared" si="14"/>
        <v>1219905.375</v>
      </c>
      <c r="S29" s="1605">
        <f t="shared" si="2"/>
        <v>0.86612012022821772</v>
      </c>
      <c r="T29" s="1009">
        <f t="shared" si="15"/>
        <v>188565.97500000001</v>
      </c>
      <c r="U29" s="1616">
        <f t="shared" si="3"/>
        <v>0.1338798797717824</v>
      </c>
      <c r="V29" s="1009"/>
      <c r="W29" s="1008"/>
      <c r="X29" s="1019"/>
      <c r="Z29" s="46">
        <f t="shared" si="8"/>
        <v>0</v>
      </c>
    </row>
    <row r="30" spans="2:26" outlineLevel="1">
      <c r="B30" s="1007" t="s">
        <v>5</v>
      </c>
      <c r="C30" s="1008" t="s">
        <v>1575</v>
      </c>
      <c r="D30" s="1008" t="s">
        <v>402</v>
      </c>
      <c r="E30" s="1008" t="s">
        <v>0</v>
      </c>
      <c r="F30" s="1009">
        <f>'N_02 Vstupy'!$C$68</f>
        <v>0</v>
      </c>
      <c r="G30" s="1009">
        <f>'N_02 Vstupy'!$D$68</f>
        <v>0</v>
      </c>
      <c r="H30" s="1009">
        <f>'N_02 Vstupy'!E$68</f>
        <v>578175</v>
      </c>
      <c r="I30" s="1009">
        <f>'N_02 Vstupy'!$F$68</f>
        <v>578175</v>
      </c>
      <c r="J30" s="1009">
        <f>'N_02 Vstupy'!$G$68</f>
        <v>578175</v>
      </c>
      <c r="K30" s="1009">
        <f>'N_02 Vstupy'!$H$68</f>
        <v>578175</v>
      </c>
      <c r="L30" s="1009">
        <f>'N_02 Vstupy'!$I$68</f>
        <v>578175</v>
      </c>
      <c r="M30" s="1009">
        <f>'N_02 Vstupy'!$J$68</f>
        <v>578175</v>
      </c>
      <c r="N30" s="1009">
        <f>'N_02 Vstupy'!$K$68</f>
        <v>578175</v>
      </c>
      <c r="O30" s="1009">
        <f>'N_02 Vstupy'!$L$68</f>
        <v>578175</v>
      </c>
      <c r="P30" s="1010">
        <f t="shared" si="5"/>
        <v>4625400</v>
      </c>
      <c r="R30" s="1016">
        <f t="shared" si="14"/>
        <v>289087.5</v>
      </c>
      <c r="S30" s="1605">
        <f t="shared" si="2"/>
        <v>6.25E-2</v>
      </c>
      <c r="T30" s="1009">
        <f t="shared" si="15"/>
        <v>4336312.5</v>
      </c>
      <c r="U30" s="1616">
        <f t="shared" si="3"/>
        <v>0.9375</v>
      </c>
      <c r="V30" s="1009"/>
      <c r="W30" s="1008"/>
      <c r="X30" s="1019"/>
      <c r="Z30" s="46">
        <f t="shared" si="8"/>
        <v>0</v>
      </c>
    </row>
    <row r="31" spans="2:26" outlineLevel="1">
      <c r="B31" s="1002"/>
      <c r="C31" s="1003" t="s">
        <v>1430</v>
      </c>
      <c r="D31" s="1004"/>
      <c r="E31" s="1004"/>
      <c r="F31" s="1005">
        <f>SUM(F32)</f>
        <v>594432</v>
      </c>
      <c r="G31" s="1005">
        <f t="shared" ref="G31:O31" si="17">SUM(G32)</f>
        <v>1188864</v>
      </c>
      <c r="H31" s="1005">
        <f t="shared" si="17"/>
        <v>1188864</v>
      </c>
      <c r="I31" s="1005">
        <f t="shared" si="17"/>
        <v>0</v>
      </c>
      <c r="J31" s="1005">
        <f t="shared" si="17"/>
        <v>0</v>
      </c>
      <c r="K31" s="1005">
        <f t="shared" si="17"/>
        <v>0</v>
      </c>
      <c r="L31" s="1005">
        <f t="shared" si="17"/>
        <v>0</v>
      </c>
      <c r="M31" s="1005">
        <f t="shared" si="17"/>
        <v>0</v>
      </c>
      <c r="N31" s="1005">
        <f t="shared" si="17"/>
        <v>0</v>
      </c>
      <c r="O31" s="1005">
        <f t="shared" si="17"/>
        <v>0</v>
      </c>
      <c r="P31" s="1006">
        <f t="shared" si="5"/>
        <v>2972160</v>
      </c>
      <c r="R31" s="1007"/>
      <c r="S31" s="1605"/>
      <c r="T31" s="1009"/>
      <c r="U31" s="1616"/>
      <c r="V31" s="1009"/>
      <c r="W31" s="1008"/>
      <c r="X31" s="1019"/>
      <c r="Z31" s="46"/>
    </row>
    <row r="32" spans="2:26" outlineLevel="1">
      <c r="B32" s="1007" t="s">
        <v>5</v>
      </c>
      <c r="C32" s="1008" t="s">
        <v>1576</v>
      </c>
      <c r="D32" s="1008" t="s">
        <v>211</v>
      </c>
      <c r="E32" s="1008" t="s">
        <v>0</v>
      </c>
      <c r="F32" s="1009">
        <f>'N_02 Vstupy'!$D$102*1.2</f>
        <v>594432</v>
      </c>
      <c r="G32" s="1009">
        <f>'N_02 Vstupy'!$F$102*1.2</f>
        <v>1188864</v>
      </c>
      <c r="H32" s="1009">
        <f>'N_02 Vstupy'!$H$102*1.2</f>
        <v>1188864</v>
      </c>
      <c r="I32" s="1009">
        <f>'N_02 Vstupy'!$J$102*1.2</f>
        <v>0</v>
      </c>
      <c r="J32" s="1009"/>
      <c r="K32" s="1009"/>
      <c r="L32" s="1009"/>
      <c r="M32" s="1009"/>
      <c r="N32" s="1009"/>
      <c r="O32" s="1009"/>
      <c r="P32" s="1010">
        <f t="shared" si="5"/>
        <v>2972160</v>
      </c>
      <c r="R32" s="1016">
        <f t="shared" si="14"/>
        <v>2377728</v>
      </c>
      <c r="S32" s="1605">
        <f t="shared" si="2"/>
        <v>0.8</v>
      </c>
      <c r="T32" s="1009">
        <f t="shared" si="15"/>
        <v>594432</v>
      </c>
      <c r="U32" s="1616">
        <f t="shared" si="3"/>
        <v>0.2</v>
      </c>
      <c r="V32" s="1009"/>
      <c r="W32" s="1008"/>
      <c r="X32" s="1019"/>
      <c r="Z32" s="46">
        <f t="shared" si="8"/>
        <v>0</v>
      </c>
    </row>
    <row r="33" spans="2:26" outlineLevel="1">
      <c r="B33" s="1002"/>
      <c r="C33" s="1003" t="s">
        <v>1373</v>
      </c>
      <c r="D33" s="1004"/>
      <c r="E33" s="1004"/>
      <c r="F33" s="1005">
        <f>SUM(F34)</f>
        <v>0</v>
      </c>
      <c r="G33" s="1005">
        <f t="shared" ref="G33:O33" si="18">SUM(G34)</f>
        <v>478884</v>
      </c>
      <c r="H33" s="1005">
        <f t="shared" si="18"/>
        <v>1915536</v>
      </c>
      <c r="I33" s="1005">
        <f t="shared" si="18"/>
        <v>60000</v>
      </c>
      <c r="J33" s="1005">
        <f t="shared" si="18"/>
        <v>60000</v>
      </c>
      <c r="K33" s="1005">
        <f t="shared" si="18"/>
        <v>0</v>
      </c>
      <c r="L33" s="1005">
        <f t="shared" si="18"/>
        <v>0</v>
      </c>
      <c r="M33" s="1005">
        <f t="shared" si="18"/>
        <v>0</v>
      </c>
      <c r="N33" s="1005">
        <f t="shared" si="18"/>
        <v>0</v>
      </c>
      <c r="O33" s="1005">
        <f t="shared" si="18"/>
        <v>0</v>
      </c>
      <c r="P33" s="1006">
        <f t="shared" si="5"/>
        <v>2514420</v>
      </c>
      <c r="R33" s="1007"/>
      <c r="S33" s="1605"/>
      <c r="T33" s="1009"/>
      <c r="U33" s="1616"/>
      <c r="V33" s="1009"/>
      <c r="W33" s="1008"/>
      <c r="X33" s="1019"/>
      <c r="Z33" s="46"/>
    </row>
    <row r="34" spans="2:26" ht="12.75" outlineLevel="1" thickBot="1">
      <c r="B34" s="1013" t="s">
        <v>5</v>
      </c>
      <c r="C34" s="1014" t="s">
        <v>1431</v>
      </c>
      <c r="D34" s="1014" t="s">
        <v>1431</v>
      </c>
      <c r="E34" s="1014" t="s">
        <v>0</v>
      </c>
      <c r="F34" s="1015"/>
      <c r="G34" s="1015">
        <f>'N_02 Vstupy'!$C$113*1.2</f>
        <v>478884</v>
      </c>
      <c r="H34" s="1015">
        <f>'N_02 Vstupy'!$D$113*1.2</f>
        <v>1915536</v>
      </c>
      <c r="I34" s="1015">
        <f>'N_02 Vstupy'!$E$113*1.2</f>
        <v>60000</v>
      </c>
      <c r="J34" s="1015">
        <f>'N_02 Vstupy'!$F$113*1.2</f>
        <v>60000</v>
      </c>
      <c r="K34" s="1015"/>
      <c r="L34" s="1015"/>
      <c r="M34" s="1015"/>
      <c r="N34" s="1015"/>
      <c r="O34" s="1015"/>
      <c r="P34" s="1026">
        <f t="shared" si="5"/>
        <v>2514420</v>
      </c>
      <c r="R34" s="1020">
        <f t="shared" si="14"/>
        <v>1436652</v>
      </c>
      <c r="S34" s="1608">
        <f t="shared" si="2"/>
        <v>0.57136516572410334</v>
      </c>
      <c r="T34" s="1015">
        <f t="shared" si="15"/>
        <v>1077768</v>
      </c>
      <c r="U34" s="1619">
        <f t="shared" si="3"/>
        <v>0.4286348342758966</v>
      </c>
      <c r="V34" s="1015"/>
      <c r="W34" s="1014"/>
      <c r="X34" s="1021"/>
      <c r="Z34" s="46">
        <f t="shared" si="8"/>
        <v>0</v>
      </c>
    </row>
    <row r="35" spans="2:26" outlineLevel="1">
      <c r="P35" s="953"/>
      <c r="R35" s="46"/>
      <c r="T35" s="46"/>
      <c r="V35" s="46"/>
    </row>
    <row r="36" spans="2:26" ht="12.75" outlineLevel="1" thickBot="1">
      <c r="P36" s="953"/>
      <c r="R36" s="46">
        <f>SUM(R38,R49)</f>
        <v>28381292.475000001</v>
      </c>
      <c r="T36" s="46">
        <f>R36-R37</f>
        <v>1881292.4750000015</v>
      </c>
      <c r="V36" s="46"/>
    </row>
    <row r="37" spans="2:26" customFormat="1" ht="15">
      <c r="B37" s="1030" t="s">
        <v>681</v>
      </c>
      <c r="C37" s="1031"/>
      <c r="D37" s="1031"/>
      <c r="E37" s="1031"/>
      <c r="F37" s="1032">
        <f t="shared" ref="F37:O37" si="19">SUM(F38,F49)</f>
        <v>963861.45</v>
      </c>
      <c r="G37" s="1032">
        <f t="shared" si="19"/>
        <v>9559753.9499999993</v>
      </c>
      <c r="H37" s="1032">
        <f t="shared" si="19"/>
        <v>20433681.149999999</v>
      </c>
      <c r="I37" s="1032">
        <f t="shared" si="19"/>
        <v>2602224.6</v>
      </c>
      <c r="J37" s="1032">
        <f t="shared" si="19"/>
        <v>2602224.6</v>
      </c>
      <c r="K37" s="1032">
        <f t="shared" si="19"/>
        <v>2496048.6</v>
      </c>
      <c r="L37" s="1032">
        <f t="shared" si="19"/>
        <v>3180048.6</v>
      </c>
      <c r="M37" s="1032">
        <f t="shared" si="19"/>
        <v>3180048.6</v>
      </c>
      <c r="N37" s="1032">
        <f t="shared" si="19"/>
        <v>3180048.6</v>
      </c>
      <c r="O37" s="1032">
        <f t="shared" si="19"/>
        <v>3180048.6</v>
      </c>
      <c r="P37" s="1033">
        <f>SUM(F37:O37)</f>
        <v>51377988.750000007</v>
      </c>
      <c r="R37" s="1034">
        <f>IF(SUM(R38,R49)&gt;26500000,26500000,SUM(R38,R49))</f>
        <v>26500000</v>
      </c>
      <c r="S37" s="1600">
        <f>R37/P37</f>
        <v>0.51578507926704309</v>
      </c>
      <c r="T37" s="1035">
        <f>IF(SUM(R38,R49)&gt;26500000,(SUM(T38,T49)+(SUM(R38,R49)-26500000)),SUM(T38,T49))-W37-V37</f>
        <v>15498116.870168764</v>
      </c>
      <c r="U37" s="1614">
        <f>T37/P37</f>
        <v>0.30164895993848656</v>
      </c>
      <c r="V37" s="1035">
        <f>SUM(V38,V49)</f>
        <v>9379871.8798312396</v>
      </c>
      <c r="W37" s="1036"/>
      <c r="X37" s="1037">
        <f>SUM(X39:X67)</f>
        <v>0</v>
      </c>
      <c r="Y37" s="1038"/>
      <c r="Z37" s="1038">
        <f>SUM(R37,T37)-P37</f>
        <v>-9379871.879831247</v>
      </c>
    </row>
    <row r="38" spans="2:26">
      <c r="B38" s="998" t="s">
        <v>1370</v>
      </c>
      <c r="C38" s="999"/>
      <c r="D38" s="999"/>
      <c r="E38" s="999"/>
      <c r="F38" s="1000">
        <f t="shared" ref="F38:O38" si="20">SUM(F39,F44,F47)</f>
        <v>0</v>
      </c>
      <c r="G38" s="1000">
        <f t="shared" si="20"/>
        <v>3602304</v>
      </c>
      <c r="H38" s="1000">
        <f t="shared" si="20"/>
        <v>15281673</v>
      </c>
      <c r="I38" s="1000">
        <f t="shared" si="20"/>
        <v>0</v>
      </c>
      <c r="J38" s="1000">
        <f t="shared" si="20"/>
        <v>0</v>
      </c>
      <c r="K38" s="1000">
        <f t="shared" si="20"/>
        <v>0</v>
      </c>
      <c r="L38" s="1000">
        <f t="shared" si="20"/>
        <v>0</v>
      </c>
      <c r="M38" s="1000">
        <f t="shared" si="20"/>
        <v>0</v>
      </c>
      <c r="N38" s="1000">
        <f t="shared" si="20"/>
        <v>0</v>
      </c>
      <c r="O38" s="1000">
        <f t="shared" si="20"/>
        <v>0</v>
      </c>
      <c r="P38" s="1001">
        <f>SUM(F38:O38)</f>
        <v>18883977</v>
      </c>
      <c r="R38" s="1027">
        <f>SUM(R39:R48)</f>
        <v>18883977</v>
      </c>
      <c r="S38" s="1604">
        <f t="shared" ref="S38" si="21">R38/P38</f>
        <v>1</v>
      </c>
      <c r="T38" s="1005">
        <f>SUM(T39:T48)</f>
        <v>0</v>
      </c>
      <c r="U38" s="1615">
        <f t="shared" ref="U38" si="22">T38/P38</f>
        <v>0</v>
      </c>
      <c r="V38" s="1005">
        <f>SUM(V39:V48)</f>
        <v>0</v>
      </c>
      <c r="W38" s="1022"/>
      <c r="X38" s="1023"/>
      <c r="Y38" s="46"/>
      <c r="Z38" s="46">
        <f>SUM(R38,T38)-P38</f>
        <v>0</v>
      </c>
    </row>
    <row r="39" spans="2:26" customFormat="1" ht="15" outlineLevel="1">
      <c r="B39" s="1002"/>
      <c r="C39" s="1003" t="s">
        <v>1426</v>
      </c>
      <c r="D39" s="1003"/>
      <c r="E39" s="1004"/>
      <c r="F39" s="1005">
        <f t="shared" ref="F39:O39" si="23">SUM(F40:F43)</f>
        <v>0</v>
      </c>
      <c r="G39" s="1005">
        <f t="shared" si="23"/>
        <v>3602304</v>
      </c>
      <c r="H39" s="1005">
        <f t="shared" si="23"/>
        <v>4561920</v>
      </c>
      <c r="I39" s="1005">
        <f t="shared" si="23"/>
        <v>0</v>
      </c>
      <c r="J39" s="1005">
        <f t="shared" si="23"/>
        <v>0</v>
      </c>
      <c r="K39" s="1005">
        <f t="shared" si="23"/>
        <v>0</v>
      </c>
      <c r="L39" s="1005">
        <f t="shared" si="23"/>
        <v>0</v>
      </c>
      <c r="M39" s="1005">
        <f t="shared" si="23"/>
        <v>0</v>
      </c>
      <c r="N39" s="1005">
        <f t="shared" si="23"/>
        <v>0</v>
      </c>
      <c r="O39" s="1005">
        <f t="shared" si="23"/>
        <v>0</v>
      </c>
      <c r="P39" s="1006">
        <f t="shared" ref="P39:P67" si="24">SUM(F39:O39)</f>
        <v>8164224</v>
      </c>
      <c r="R39" s="1016"/>
      <c r="S39" s="1605"/>
      <c r="T39" s="1009"/>
      <c r="U39" s="1616"/>
      <c r="V39" s="1009"/>
      <c r="W39" s="1017"/>
      <c r="X39" s="1018"/>
      <c r="Z39" s="46"/>
    </row>
    <row r="40" spans="2:26" outlineLevel="1">
      <c r="B40" s="1007" t="s">
        <v>7</v>
      </c>
      <c r="C40" s="1008" t="s">
        <v>205</v>
      </c>
      <c r="D40" s="1008" t="s">
        <v>198</v>
      </c>
      <c r="E40" s="1008" t="s">
        <v>0</v>
      </c>
      <c r="F40" s="1009"/>
      <c r="G40" s="1654">
        <f>'N_02 Vstupy'!$F$182*1.2</f>
        <v>0</v>
      </c>
      <c r="H40" s="1009"/>
      <c r="I40" s="1009"/>
      <c r="J40" s="1009"/>
      <c r="K40" s="1009"/>
      <c r="L40" s="1009"/>
      <c r="M40" s="1009"/>
      <c r="N40" s="1009"/>
      <c r="O40" s="1009"/>
      <c r="P40" s="1010">
        <f t="shared" si="24"/>
        <v>0</v>
      </c>
      <c r="R40" s="1016">
        <f t="shared" ref="R40:R43" si="25">SUM(F40:H40)</f>
        <v>0</v>
      </c>
      <c r="S40" s="1605" t="e">
        <f t="shared" ref="S40:S43" si="26">R40/P40</f>
        <v>#DIV/0!</v>
      </c>
      <c r="T40" s="1009">
        <f t="shared" ref="T40:T43" si="27">SUM(I40:O40)-W40-X40</f>
        <v>0</v>
      </c>
      <c r="U40" s="1616" t="e">
        <f t="shared" ref="U40:U43" si="28">T40/P40</f>
        <v>#DIV/0!</v>
      </c>
      <c r="V40" s="1009"/>
      <c r="W40" s="1008"/>
      <c r="X40" s="1019"/>
      <c r="Z40" s="46">
        <f t="shared" ref="Z40:Z67" si="29">SUM(R40,T40)-P40</f>
        <v>0</v>
      </c>
    </row>
    <row r="41" spans="2:26" outlineLevel="1">
      <c r="B41" s="1007" t="s">
        <v>7</v>
      </c>
      <c r="C41" s="1008" t="s">
        <v>205</v>
      </c>
      <c r="D41" s="1008" t="s">
        <v>1615</v>
      </c>
      <c r="E41" s="1008" t="s">
        <v>0</v>
      </c>
      <c r="F41" s="1009"/>
      <c r="G41" s="1654">
        <f>('N_02 Vstupy'!$F$184*1.2)/2</f>
        <v>3602304</v>
      </c>
      <c r="H41" s="1654">
        <f>('N_02 Vstupy'!$F$184*1.2)/2</f>
        <v>3602304</v>
      </c>
      <c r="I41" s="1009"/>
      <c r="J41" s="1009"/>
      <c r="K41" s="1009"/>
      <c r="L41" s="1009"/>
      <c r="M41" s="1009"/>
      <c r="N41" s="1009"/>
      <c r="O41" s="1009"/>
      <c r="P41" s="1010">
        <f t="shared" si="24"/>
        <v>7204608</v>
      </c>
      <c r="R41" s="1016">
        <f t="shared" si="25"/>
        <v>7204608</v>
      </c>
      <c r="S41" s="1605">
        <f t="shared" si="26"/>
        <v>1</v>
      </c>
      <c r="T41" s="1009">
        <f t="shared" si="27"/>
        <v>0</v>
      </c>
      <c r="U41" s="1616">
        <f t="shared" si="28"/>
        <v>0</v>
      </c>
      <c r="V41" s="1009"/>
      <c r="W41" s="1008"/>
      <c r="X41" s="1019"/>
      <c r="Z41" s="46">
        <f t="shared" si="29"/>
        <v>0</v>
      </c>
    </row>
    <row r="42" spans="2:26" outlineLevel="1">
      <c r="B42" s="1007" t="s">
        <v>7</v>
      </c>
      <c r="C42" s="1008" t="s">
        <v>1572</v>
      </c>
      <c r="D42" s="1008" t="s">
        <v>1616</v>
      </c>
      <c r="E42" s="1008" t="s">
        <v>0</v>
      </c>
      <c r="F42" s="1009"/>
      <c r="G42" s="1009"/>
      <c r="H42" s="1654">
        <f>'N_02 Vstupy'!$F$190*1.2</f>
        <v>300096</v>
      </c>
      <c r="I42" s="1009"/>
      <c r="J42" s="1009"/>
      <c r="K42" s="1009"/>
      <c r="L42" s="1009"/>
      <c r="M42" s="1009"/>
      <c r="N42" s="1009"/>
      <c r="O42" s="1009"/>
      <c r="P42" s="1010">
        <f t="shared" si="24"/>
        <v>300096</v>
      </c>
      <c r="R42" s="1016">
        <f t="shared" si="25"/>
        <v>300096</v>
      </c>
      <c r="S42" s="1605">
        <f t="shared" si="26"/>
        <v>1</v>
      </c>
      <c r="T42" s="1009">
        <f t="shared" si="27"/>
        <v>0</v>
      </c>
      <c r="U42" s="1616">
        <f t="shared" si="28"/>
        <v>0</v>
      </c>
      <c r="V42" s="1009"/>
      <c r="W42" s="1008"/>
      <c r="X42" s="1019"/>
      <c r="Z42" s="46">
        <f t="shared" si="29"/>
        <v>0</v>
      </c>
    </row>
    <row r="43" spans="2:26" outlineLevel="1">
      <c r="B43" s="1007" t="s">
        <v>7</v>
      </c>
      <c r="C43" s="1008" t="s">
        <v>1573</v>
      </c>
      <c r="D43" s="1008" t="s">
        <v>1614</v>
      </c>
      <c r="E43" s="1008" t="s">
        <v>0</v>
      </c>
      <c r="F43" s="1009"/>
      <c r="G43" s="1009"/>
      <c r="H43" s="1654">
        <f>'N_02 Vstupy'!$F$192*1.2</f>
        <v>659520</v>
      </c>
      <c r="I43" s="1009"/>
      <c r="J43" s="1009"/>
      <c r="K43" s="1009"/>
      <c r="L43" s="1009"/>
      <c r="M43" s="1009"/>
      <c r="N43" s="1009"/>
      <c r="O43" s="1009"/>
      <c r="P43" s="1010">
        <f t="shared" si="24"/>
        <v>659520</v>
      </c>
      <c r="R43" s="1016">
        <f t="shared" si="25"/>
        <v>659520</v>
      </c>
      <c r="S43" s="1605">
        <f t="shared" si="26"/>
        <v>1</v>
      </c>
      <c r="T43" s="1009">
        <f t="shared" si="27"/>
        <v>0</v>
      </c>
      <c r="U43" s="1616">
        <f t="shared" si="28"/>
        <v>0</v>
      </c>
      <c r="V43" s="1009"/>
      <c r="W43" s="1008"/>
      <c r="X43" s="1019"/>
      <c r="Z43" s="46">
        <f t="shared" si="29"/>
        <v>0</v>
      </c>
    </row>
    <row r="44" spans="2:26" outlineLevel="1" collapsed="1">
      <c r="B44" s="1002"/>
      <c r="C44" s="1003" t="s">
        <v>1427</v>
      </c>
      <c r="D44" s="1004"/>
      <c r="E44" s="1004"/>
      <c r="F44" s="1005">
        <f t="shared" ref="F44:O44" si="30">SUM(F45:F46)</f>
        <v>0</v>
      </c>
      <c r="G44" s="1005">
        <f t="shared" si="30"/>
        <v>0</v>
      </c>
      <c r="H44" s="1005">
        <f t="shared" si="30"/>
        <v>2415168</v>
      </c>
      <c r="I44" s="1005">
        <f t="shared" si="30"/>
        <v>0</v>
      </c>
      <c r="J44" s="1005">
        <f t="shared" si="30"/>
        <v>0</v>
      </c>
      <c r="K44" s="1005">
        <f t="shared" si="30"/>
        <v>0</v>
      </c>
      <c r="L44" s="1005">
        <f t="shared" si="30"/>
        <v>0</v>
      </c>
      <c r="M44" s="1005">
        <f t="shared" si="30"/>
        <v>0</v>
      </c>
      <c r="N44" s="1005">
        <f t="shared" si="30"/>
        <v>0</v>
      </c>
      <c r="O44" s="1005">
        <f t="shared" si="30"/>
        <v>0</v>
      </c>
      <c r="P44" s="1006">
        <f t="shared" si="24"/>
        <v>2415168</v>
      </c>
      <c r="R44" s="1007"/>
      <c r="S44" s="1605"/>
      <c r="T44" s="1009"/>
      <c r="U44" s="1616"/>
      <c r="V44" s="1009"/>
      <c r="W44" s="1008"/>
      <c r="X44" s="1019"/>
      <c r="Z44" s="46"/>
    </row>
    <row r="45" spans="2:26" outlineLevel="1">
      <c r="B45" s="1007" t="s">
        <v>7</v>
      </c>
      <c r="C45" s="1008" t="s">
        <v>206</v>
      </c>
      <c r="D45" s="1008" t="s">
        <v>1621</v>
      </c>
      <c r="E45" s="1008" t="s">
        <v>0</v>
      </c>
      <c r="F45" s="1009"/>
      <c r="G45" s="1009"/>
      <c r="H45" s="1009"/>
      <c r="I45" s="1009"/>
      <c r="J45" s="1009"/>
      <c r="K45" s="1009"/>
      <c r="L45" s="1009"/>
      <c r="M45" s="1009"/>
      <c r="N45" s="1009"/>
      <c r="O45" s="1009"/>
      <c r="P45" s="1010">
        <f t="shared" si="24"/>
        <v>0</v>
      </c>
      <c r="R45" s="1016">
        <f>SUM(F45:H45)</f>
        <v>0</v>
      </c>
      <c r="S45" s="1605" t="e">
        <f t="shared" ref="S45:S46" si="31">R45/P45</f>
        <v>#DIV/0!</v>
      </c>
      <c r="T45" s="1009">
        <f t="shared" ref="T45:T46" si="32">SUM(I45:O45)-W45-X45</f>
        <v>0</v>
      </c>
      <c r="U45" s="1616" t="e">
        <f t="shared" ref="U45:U46" si="33">T45/P45</f>
        <v>#DIV/0!</v>
      </c>
      <c r="V45" s="1009"/>
      <c r="W45" s="1008"/>
      <c r="X45" s="1019"/>
      <c r="Z45" s="46">
        <f t="shared" si="29"/>
        <v>0</v>
      </c>
    </row>
    <row r="46" spans="2:26" outlineLevel="1">
      <c r="B46" s="1007" t="s">
        <v>7</v>
      </c>
      <c r="C46" s="1008" t="s">
        <v>1560</v>
      </c>
      <c r="D46" s="1008" t="s">
        <v>1630</v>
      </c>
      <c r="E46" s="1011" t="s">
        <v>1631</v>
      </c>
      <c r="F46" s="1009"/>
      <c r="G46" s="1009"/>
      <c r="H46" s="1654">
        <f>'N_02 Vstupy'!$F$193*1.2</f>
        <v>2415168</v>
      </c>
      <c r="I46" s="1009"/>
      <c r="J46" s="1009"/>
      <c r="K46" s="1009"/>
      <c r="L46" s="1009"/>
      <c r="M46" s="1009"/>
      <c r="N46" s="1009"/>
      <c r="O46" s="1009"/>
      <c r="P46" s="1010">
        <f t="shared" si="24"/>
        <v>2415168</v>
      </c>
      <c r="R46" s="1222">
        <f>SUM(F46:H46)</f>
        <v>2415168</v>
      </c>
      <c r="S46" s="1606">
        <f t="shared" si="31"/>
        <v>1</v>
      </c>
      <c r="T46" s="1012">
        <f t="shared" si="32"/>
        <v>0</v>
      </c>
      <c r="U46" s="1617">
        <f t="shared" si="33"/>
        <v>0</v>
      </c>
      <c r="V46" s="1012"/>
      <c r="W46" s="1008"/>
      <c r="X46" s="1019"/>
      <c r="Z46" s="46">
        <f t="shared" si="29"/>
        <v>0</v>
      </c>
    </row>
    <row r="47" spans="2:26" outlineLevel="1">
      <c r="B47" s="1002"/>
      <c r="C47" s="1003" t="s">
        <v>1428</v>
      </c>
      <c r="D47" s="1004"/>
      <c r="E47" s="1004"/>
      <c r="F47" s="1005">
        <f t="shared" ref="F47:O47" si="34">SUM(F48:F48)</f>
        <v>0</v>
      </c>
      <c r="G47" s="1005">
        <f t="shared" si="34"/>
        <v>0</v>
      </c>
      <c r="H47" s="1005">
        <f t="shared" si="34"/>
        <v>8304585</v>
      </c>
      <c r="I47" s="1005">
        <f t="shared" si="34"/>
        <v>0</v>
      </c>
      <c r="J47" s="1005">
        <f t="shared" si="34"/>
        <v>0</v>
      </c>
      <c r="K47" s="1005">
        <f t="shared" si="34"/>
        <v>0</v>
      </c>
      <c r="L47" s="1005">
        <f t="shared" si="34"/>
        <v>0</v>
      </c>
      <c r="M47" s="1005">
        <f t="shared" si="34"/>
        <v>0</v>
      </c>
      <c r="N47" s="1005">
        <f t="shared" si="34"/>
        <v>0</v>
      </c>
      <c r="O47" s="1005">
        <f t="shared" si="34"/>
        <v>0</v>
      </c>
      <c r="P47" s="1006">
        <f t="shared" si="24"/>
        <v>8304585</v>
      </c>
      <c r="R47" s="1007"/>
      <c r="S47" s="1605"/>
      <c r="T47" s="1009"/>
      <c r="U47" s="1616"/>
      <c r="V47" s="1009"/>
      <c r="W47" s="1008"/>
      <c r="X47" s="1019"/>
      <c r="Z47" s="46"/>
    </row>
    <row r="48" spans="2:26" outlineLevel="1">
      <c r="B48" s="1007" t="s">
        <v>7</v>
      </c>
      <c r="C48" s="1008" t="s">
        <v>208</v>
      </c>
      <c r="D48" s="1008" t="s">
        <v>1603</v>
      </c>
      <c r="E48" s="1008" t="s">
        <v>0</v>
      </c>
      <c r="F48" s="1009"/>
      <c r="G48" s="1009"/>
      <c r="H48" s="1009">
        <f>'N_02 Vstupy'!I134*1.2</f>
        <v>8304585</v>
      </c>
      <c r="I48" s="1009"/>
      <c r="J48" s="1009"/>
      <c r="K48" s="1009"/>
      <c r="L48" s="1009"/>
      <c r="M48" s="1009"/>
      <c r="N48" s="1009"/>
      <c r="O48" s="1009"/>
      <c r="P48" s="1010">
        <f t="shared" si="24"/>
        <v>8304585</v>
      </c>
      <c r="R48" s="1016">
        <f>SUM(F48:H48)</f>
        <v>8304585</v>
      </c>
      <c r="S48" s="1605">
        <f t="shared" ref="S48:S49" si="35">R48/P48</f>
        <v>1</v>
      </c>
      <c r="T48" s="1009">
        <f t="shared" ref="T48" si="36">SUM(I48:O48)-W48-X48</f>
        <v>0</v>
      </c>
      <c r="U48" s="1616">
        <f t="shared" ref="U48:U49" si="37">T48/P48</f>
        <v>0</v>
      </c>
      <c r="V48" s="1009"/>
      <c r="W48" s="1008"/>
      <c r="X48" s="1019"/>
      <c r="Z48" s="46">
        <f t="shared" si="29"/>
        <v>0</v>
      </c>
    </row>
    <row r="49" spans="2:26" outlineLevel="1">
      <c r="B49" s="998" t="s">
        <v>1371</v>
      </c>
      <c r="C49" s="999"/>
      <c r="D49" s="999"/>
      <c r="E49" s="1000"/>
      <c r="F49" s="1000">
        <f t="shared" ref="F49:O49" si="38">F50+F60+F64+F66</f>
        <v>963861.45</v>
      </c>
      <c r="G49" s="1000">
        <f t="shared" si="38"/>
        <v>5957449.9500000002</v>
      </c>
      <c r="H49" s="1000">
        <f t="shared" si="38"/>
        <v>5152008.1500000004</v>
      </c>
      <c r="I49" s="1000">
        <f t="shared" si="38"/>
        <v>2602224.6</v>
      </c>
      <c r="J49" s="1000">
        <f t="shared" si="38"/>
        <v>2602224.6</v>
      </c>
      <c r="K49" s="1000">
        <f t="shared" si="38"/>
        <v>2496048.6</v>
      </c>
      <c r="L49" s="1000">
        <f t="shared" si="38"/>
        <v>3180048.6</v>
      </c>
      <c r="M49" s="1000">
        <f t="shared" si="38"/>
        <v>3180048.6</v>
      </c>
      <c r="N49" s="1000">
        <f t="shared" si="38"/>
        <v>3180048.6</v>
      </c>
      <c r="O49" s="1000">
        <f t="shared" si="38"/>
        <v>3180048.6</v>
      </c>
      <c r="P49" s="1001">
        <f t="shared" si="24"/>
        <v>32494011.750000007</v>
      </c>
      <c r="R49" s="1028">
        <f>SUM(R50:R67)</f>
        <v>9497315.4749999996</v>
      </c>
      <c r="S49" s="1607">
        <f t="shared" si="35"/>
        <v>0.2922789450582382</v>
      </c>
      <c r="T49" s="1029">
        <f>SUM(T50:T67)</f>
        <v>22996696.275000002</v>
      </c>
      <c r="U49" s="1618">
        <f t="shared" si="37"/>
        <v>0.70772105494176163</v>
      </c>
      <c r="V49" s="1029">
        <f>SUM(V50:V67)</f>
        <v>9379871.8798312396</v>
      </c>
      <c r="W49" s="1024"/>
      <c r="X49" s="1025"/>
      <c r="Z49" s="46">
        <f t="shared" si="29"/>
        <v>0</v>
      </c>
    </row>
    <row r="50" spans="2:26" outlineLevel="1">
      <c r="B50" s="1002"/>
      <c r="C50" s="1003" t="s">
        <v>1429</v>
      </c>
      <c r="D50" s="1004"/>
      <c r="E50" s="1004"/>
      <c r="F50" s="1005">
        <f>SUM(F51:F56,F58)</f>
        <v>0</v>
      </c>
      <c r="G50" s="1005">
        <f t="shared" ref="G50:O50" si="39">SUM(G51:G56,G58)</f>
        <v>3420000</v>
      </c>
      <c r="H50" s="1005">
        <f t="shared" si="39"/>
        <v>953773.2</v>
      </c>
      <c r="I50" s="1005">
        <f t="shared" si="39"/>
        <v>1871697.6</v>
      </c>
      <c r="J50" s="1005">
        <f t="shared" si="39"/>
        <v>1871697.6</v>
      </c>
      <c r="K50" s="1005">
        <f t="shared" si="39"/>
        <v>1871697.6</v>
      </c>
      <c r="L50" s="1005">
        <f t="shared" si="39"/>
        <v>2555697.6</v>
      </c>
      <c r="M50" s="1005">
        <f t="shared" si="39"/>
        <v>2555697.6</v>
      </c>
      <c r="N50" s="1005">
        <f t="shared" si="39"/>
        <v>2555697.6</v>
      </c>
      <c r="O50" s="1005">
        <f t="shared" si="39"/>
        <v>2555697.6</v>
      </c>
      <c r="P50" s="1006">
        <f t="shared" si="24"/>
        <v>20211656.400000002</v>
      </c>
      <c r="R50" s="1007"/>
      <c r="S50" s="1605"/>
      <c r="T50" s="1008"/>
      <c r="U50" s="1616"/>
      <c r="V50" s="1008"/>
      <c r="W50" s="1008"/>
      <c r="X50" s="1019"/>
      <c r="Z50" s="46"/>
    </row>
    <row r="51" spans="2:26" outlineLevel="1">
      <c r="B51" s="1007" t="s">
        <v>5</v>
      </c>
      <c r="C51" s="1008" t="s">
        <v>205</v>
      </c>
      <c r="D51" s="1008" t="s">
        <v>3</v>
      </c>
      <c r="E51" s="1008" t="s">
        <v>0</v>
      </c>
      <c r="F51" s="1009"/>
      <c r="G51" s="1654">
        <f>'N_02 Vstupy'!$F$178*1.2</f>
        <v>3420000</v>
      </c>
      <c r="H51" s="1009"/>
      <c r="I51" s="1009"/>
      <c r="J51" s="1009"/>
      <c r="K51" s="1009"/>
      <c r="L51" s="1654">
        <f>'N_02 Vstupy'!$H$181*1.2</f>
        <v>684000</v>
      </c>
      <c r="M51" s="1654">
        <f>'N_02 Vstupy'!$H$181*1.2</f>
        <v>684000</v>
      </c>
      <c r="N51" s="1654">
        <f>'N_02 Vstupy'!$H$181*1.2</f>
        <v>684000</v>
      </c>
      <c r="O51" s="1654">
        <f>'N_02 Vstupy'!$H$181*1.2</f>
        <v>684000</v>
      </c>
      <c r="P51" s="1010">
        <f>SUM(F51:O51)</f>
        <v>6156000</v>
      </c>
      <c r="R51" s="1016">
        <f>SUM(F51:H51)</f>
        <v>3420000</v>
      </c>
      <c r="S51" s="1605">
        <f>R51/P51</f>
        <v>0.55555555555555558</v>
      </c>
      <c r="T51" s="1009">
        <f>SUM(I51:O51)-W51-X51</f>
        <v>2736000</v>
      </c>
      <c r="U51" s="1616">
        <f>T51/P51</f>
        <v>0.44444444444444442</v>
      </c>
      <c r="V51" s="1009"/>
      <c r="W51" s="1008"/>
      <c r="X51" s="1019"/>
      <c r="Z51" s="46">
        <f>SUM(R51,T51)-P51</f>
        <v>0</v>
      </c>
    </row>
    <row r="52" spans="2:26" outlineLevel="1">
      <c r="B52" s="1007" t="s">
        <v>5</v>
      </c>
      <c r="C52" s="1008" t="s">
        <v>205</v>
      </c>
      <c r="D52" s="1008" t="s">
        <v>1425</v>
      </c>
      <c r="E52" s="1008" t="s">
        <v>0</v>
      </c>
      <c r="F52" s="1008"/>
      <c r="G52" s="1009"/>
      <c r="H52" s="1654">
        <f>'N_02 Vstupy'!$F$183*1.2</f>
        <v>0</v>
      </c>
      <c r="I52" s="1654">
        <f>'N_02 Vstupy'!$F$183*1.2</f>
        <v>0</v>
      </c>
      <c r="J52" s="1654">
        <f>'N_02 Vstupy'!$F$183*1.2</f>
        <v>0</v>
      </c>
      <c r="K52" s="1654">
        <f>'N_02 Vstupy'!$F$183*1.2</f>
        <v>0</v>
      </c>
      <c r="L52" s="1654">
        <f>'N_02 Vstupy'!$F$183*1.2</f>
        <v>0</v>
      </c>
      <c r="M52" s="1654">
        <f>'N_02 Vstupy'!$F$183*1.2</f>
        <v>0</v>
      </c>
      <c r="N52" s="1654">
        <f>'N_02 Vstupy'!$F$183*1.2</f>
        <v>0</v>
      </c>
      <c r="O52" s="1654">
        <f>'N_02 Vstupy'!$F$183*1.2</f>
        <v>0</v>
      </c>
      <c r="P52" s="1010">
        <f t="shared" si="24"/>
        <v>0</v>
      </c>
      <c r="R52" s="1016">
        <f>SUM(F52:H52)</f>
        <v>0</v>
      </c>
      <c r="S52" s="1605" t="e">
        <f t="shared" ref="S52:S59" si="40">R52/P52</f>
        <v>#DIV/0!</v>
      </c>
      <c r="T52" s="1009">
        <f t="shared" ref="T52:T53" si="41">SUM(I52:O52)-W52-X52</f>
        <v>0</v>
      </c>
      <c r="U52" s="1616" t="e">
        <f t="shared" ref="U52:U59" si="42">T52/P52</f>
        <v>#DIV/0!</v>
      </c>
      <c r="V52" s="1009"/>
      <c r="W52" s="1008"/>
      <c r="X52" s="1019"/>
      <c r="Z52" s="46">
        <f t="shared" si="29"/>
        <v>0</v>
      </c>
    </row>
    <row r="53" spans="2:26" outlineLevel="1">
      <c r="B53" s="1007" t="s">
        <v>5</v>
      </c>
      <c r="C53" s="1008" t="s">
        <v>205</v>
      </c>
      <c r="D53" s="1008" t="s">
        <v>259</v>
      </c>
      <c r="E53" s="1008" t="s">
        <v>0</v>
      </c>
      <c r="F53" s="1009"/>
      <c r="G53" s="1009"/>
      <c r="H53" s="1654">
        <f>'N_02 Vstupy'!$F$180*1.2</f>
        <v>0</v>
      </c>
      <c r="I53" s="1654">
        <f>'N_02 Vstupy'!$F$180*1.2</f>
        <v>0</v>
      </c>
      <c r="J53" s="1654">
        <f>'N_02 Vstupy'!$F$180*1.2</f>
        <v>0</v>
      </c>
      <c r="K53" s="1654">
        <f>'N_02 Vstupy'!$F$180*1.2</f>
        <v>0</v>
      </c>
      <c r="L53" s="1654">
        <f>'N_02 Vstupy'!$F$180*1.2</f>
        <v>0</v>
      </c>
      <c r="M53" s="1654">
        <f>'N_02 Vstupy'!$F$180*1.2</f>
        <v>0</v>
      </c>
      <c r="N53" s="1654">
        <f>'N_02 Vstupy'!$F$180*1.2</f>
        <v>0</v>
      </c>
      <c r="O53" s="1654">
        <f>'N_02 Vstupy'!$F$180*1.2</f>
        <v>0</v>
      </c>
      <c r="P53" s="1010">
        <f t="shared" si="24"/>
        <v>0</v>
      </c>
      <c r="R53" s="1016">
        <f>SUM(F53:H53)</f>
        <v>0</v>
      </c>
      <c r="S53" s="1605" t="e">
        <f t="shared" si="40"/>
        <v>#DIV/0!</v>
      </c>
      <c r="T53" s="1009">
        <f t="shared" si="41"/>
        <v>0</v>
      </c>
      <c r="U53" s="1616" t="e">
        <f t="shared" si="42"/>
        <v>#DIV/0!</v>
      </c>
      <c r="V53" s="1009"/>
      <c r="W53" s="1008"/>
      <c r="X53" s="1019"/>
      <c r="Z53" s="46">
        <f t="shared" si="29"/>
        <v>0</v>
      </c>
    </row>
    <row r="54" spans="2:26" outlineLevel="1">
      <c r="B54" s="1007" t="s">
        <v>5</v>
      </c>
      <c r="C54" s="1008" t="s">
        <v>205</v>
      </c>
      <c r="D54" s="1008" t="s">
        <v>1568</v>
      </c>
      <c r="E54" s="1008" t="s">
        <v>0</v>
      </c>
      <c r="F54" s="1008"/>
      <c r="G54" s="1009"/>
      <c r="H54" s="1654">
        <f>('N_02 Vstupy'!$G$185*1.2)/2</f>
        <v>900000</v>
      </c>
      <c r="I54" s="1654">
        <f>'N_02 Vstupy'!$G$185*1.2</f>
        <v>1800000</v>
      </c>
      <c r="J54" s="1654">
        <f>'N_02 Vstupy'!$G$185*1.2</f>
        <v>1800000</v>
      </c>
      <c r="K54" s="1654">
        <f>'N_02 Vstupy'!$G$185*1.2</f>
        <v>1800000</v>
      </c>
      <c r="L54" s="1654">
        <f>'N_02 Vstupy'!$G$185*1.2</f>
        <v>1800000</v>
      </c>
      <c r="M54" s="1654">
        <f>'N_02 Vstupy'!$G$185*1.2</f>
        <v>1800000</v>
      </c>
      <c r="N54" s="1654">
        <f>'N_02 Vstupy'!$G$185*1.2</f>
        <v>1800000</v>
      </c>
      <c r="O54" s="1654">
        <f>'N_02 Vstupy'!$G$185*1.2</f>
        <v>1800000</v>
      </c>
      <c r="P54" s="1010">
        <f t="shared" si="24"/>
        <v>13500000</v>
      </c>
      <c r="R54" s="1016">
        <f>SUM(F54:G54,H54/2)</f>
        <v>450000</v>
      </c>
      <c r="S54" s="1605">
        <f t="shared" si="40"/>
        <v>3.3333333333333333E-2</v>
      </c>
      <c r="T54" s="1009">
        <f>SUM(H54/2,I54:O54)</f>
        <v>13050000</v>
      </c>
      <c r="U54" s="1616">
        <f t="shared" si="42"/>
        <v>0.96666666666666667</v>
      </c>
      <c r="V54" s="1009"/>
      <c r="W54" s="1008"/>
      <c r="X54" s="1019"/>
      <c r="Z54" s="46">
        <f t="shared" si="29"/>
        <v>0</v>
      </c>
    </row>
    <row r="55" spans="2:26" outlineLevel="1">
      <c r="B55" s="1007" t="s">
        <v>5</v>
      </c>
      <c r="C55" s="1008" t="s">
        <v>205</v>
      </c>
      <c r="D55" s="1008" t="s">
        <v>1660</v>
      </c>
      <c r="E55" s="1008" t="s">
        <v>0</v>
      </c>
      <c r="F55" s="1008"/>
      <c r="G55" s="1009"/>
      <c r="H55" s="1009">
        <f>'N_02 Vstupy'!$G$186*1.2</f>
        <v>0</v>
      </c>
      <c r="I55" s="1009">
        <f>'N_02 Vstupy'!$G$186*1.2</f>
        <v>0</v>
      </c>
      <c r="J55" s="1009">
        <f>'N_02 Vstupy'!$G$186*1.2</f>
        <v>0</v>
      </c>
      <c r="K55" s="1009">
        <f>'N_02 Vstupy'!$G$186*1.2</f>
        <v>0</v>
      </c>
      <c r="L55" s="1009">
        <f>'N_02 Vstupy'!$G$186*1.2</f>
        <v>0</v>
      </c>
      <c r="M55" s="1009">
        <f>'N_02 Vstupy'!$G$186*1.2</f>
        <v>0</v>
      </c>
      <c r="N55" s="1009">
        <f>'N_02 Vstupy'!$G$186*1.2</f>
        <v>0</v>
      </c>
      <c r="O55" s="1009">
        <f>'N_02 Vstupy'!$G$186*1.2</f>
        <v>0</v>
      </c>
      <c r="P55" s="1010">
        <f t="shared" si="24"/>
        <v>0</v>
      </c>
      <c r="R55" s="1016">
        <f>SUM(F55:G55,H55/2)</f>
        <v>0</v>
      </c>
      <c r="S55" s="1605" t="e">
        <f t="shared" si="40"/>
        <v>#DIV/0!</v>
      </c>
      <c r="T55" s="1009">
        <f>SUM(H55/2,I55:O55)</f>
        <v>0</v>
      </c>
      <c r="U55" s="1616" t="e">
        <f t="shared" si="42"/>
        <v>#DIV/0!</v>
      </c>
      <c r="V55" s="1009"/>
      <c r="W55" s="1008"/>
      <c r="X55" s="1019"/>
      <c r="Z55" s="46">
        <f t="shared" si="29"/>
        <v>0</v>
      </c>
    </row>
    <row r="56" spans="2:26" outlineLevel="1">
      <c r="B56" s="1007" t="s">
        <v>5</v>
      </c>
      <c r="C56" s="1008" t="s">
        <v>205</v>
      </c>
      <c r="D56" s="1008" t="s">
        <v>10</v>
      </c>
      <c r="E56" s="1008" t="s">
        <v>0</v>
      </c>
      <c r="F56" s="1009"/>
      <c r="G56" s="1009"/>
      <c r="H56" s="1009"/>
      <c r="I56" s="1009"/>
      <c r="J56" s="1009"/>
      <c r="K56" s="1009"/>
      <c r="L56" s="1009"/>
      <c r="M56" s="1009"/>
      <c r="N56" s="1009"/>
      <c r="O56" s="1009"/>
      <c r="P56" s="1010">
        <f t="shared" si="24"/>
        <v>0</v>
      </c>
      <c r="R56" s="1016">
        <f t="shared" ref="R56:R58" si="43">SUM(F56:G56,H56/2)</f>
        <v>0</v>
      </c>
      <c r="S56" s="1605" t="e">
        <f t="shared" si="40"/>
        <v>#DIV/0!</v>
      </c>
      <c r="T56" s="1009">
        <f t="shared" ref="T56:T58" si="44">SUM(H56/2,I56:O56)</f>
        <v>0</v>
      </c>
      <c r="U56" s="1616" t="e">
        <f t="shared" si="42"/>
        <v>#DIV/0!</v>
      </c>
      <c r="V56" s="1009"/>
      <c r="W56" s="1008"/>
      <c r="X56" s="1019"/>
      <c r="Z56" s="46">
        <f t="shared" si="29"/>
        <v>0</v>
      </c>
    </row>
    <row r="57" spans="2:26" outlineLevel="1">
      <c r="B57" s="1007" t="s">
        <v>5</v>
      </c>
      <c r="C57" s="1008" t="s">
        <v>208</v>
      </c>
      <c r="D57" s="1008" t="s">
        <v>1567</v>
      </c>
      <c r="E57" s="1011" t="s">
        <v>0</v>
      </c>
      <c r="F57" s="1008"/>
      <c r="G57" s="1009"/>
      <c r="H57" s="1012">
        <f>'N_02 Vstupy'!$I$140*1.2*0.75</f>
        <v>313470</v>
      </c>
      <c r="I57" s="1012">
        <f>'N_02 Vstupy'!$I$140*1.2</f>
        <v>417960</v>
      </c>
      <c r="J57" s="1012">
        <f>'N_02 Vstupy'!$I$140*1.2</f>
        <v>417960</v>
      </c>
      <c r="K57" s="1012">
        <f>'N_02 Vstupy'!$I$140*1.2</f>
        <v>417960</v>
      </c>
      <c r="L57" s="1012">
        <f>'N_02 Vstupy'!$I$140*1.2</f>
        <v>417960</v>
      </c>
      <c r="M57" s="1012">
        <f>'N_02 Vstupy'!$I$140*1.2</f>
        <v>417960</v>
      </c>
      <c r="N57" s="1012">
        <f>'N_02 Vstupy'!$I$140*1.2</f>
        <v>417960</v>
      </c>
      <c r="O57" s="1012">
        <f>'N_02 Vstupy'!$I$140*1.2</f>
        <v>417960</v>
      </c>
      <c r="P57" s="1010">
        <f t="shared" si="24"/>
        <v>3239190</v>
      </c>
      <c r="R57" s="1222">
        <v>0</v>
      </c>
      <c r="S57" s="1606">
        <f t="shared" si="40"/>
        <v>0</v>
      </c>
      <c r="T57" s="1012">
        <v>0</v>
      </c>
      <c r="U57" s="1617">
        <f t="shared" si="42"/>
        <v>0</v>
      </c>
      <c r="V57" s="1012">
        <f>P57</f>
        <v>3239190</v>
      </c>
      <c r="W57" s="1008"/>
      <c r="X57" s="1019"/>
      <c r="Z57" s="46">
        <f t="shared" si="29"/>
        <v>-3239190</v>
      </c>
    </row>
    <row r="58" spans="2:26" outlineLevel="1">
      <c r="B58" s="1007" t="s">
        <v>5</v>
      </c>
      <c r="C58" s="1008" t="s">
        <v>208</v>
      </c>
      <c r="D58" s="1008" t="s">
        <v>1562</v>
      </c>
      <c r="E58" s="1008" t="s">
        <v>0</v>
      </c>
      <c r="F58" s="1008"/>
      <c r="G58" s="1009"/>
      <c r="H58" s="1009">
        <f>'N_02 Vstupy'!$I$141*1.2*0.75</f>
        <v>53773.2</v>
      </c>
      <c r="I58" s="1009">
        <f>'N_02 Vstupy'!$I$141*1.2</f>
        <v>71697.599999999991</v>
      </c>
      <c r="J58" s="1009">
        <f>'N_02 Vstupy'!$I$141*1.2</f>
        <v>71697.599999999991</v>
      </c>
      <c r="K58" s="1009">
        <f>'N_02 Vstupy'!$I$141*1.2</f>
        <v>71697.599999999991</v>
      </c>
      <c r="L58" s="1009">
        <f>'N_02 Vstupy'!$I$141*1.2</f>
        <v>71697.599999999991</v>
      </c>
      <c r="M58" s="1009">
        <f>'N_02 Vstupy'!$I$141*1.2</f>
        <v>71697.599999999991</v>
      </c>
      <c r="N58" s="1009">
        <f>'N_02 Vstupy'!$I$141*1.2</f>
        <v>71697.599999999991</v>
      </c>
      <c r="O58" s="1009">
        <f>'N_02 Vstupy'!$I$141*1.2</f>
        <v>71697.599999999991</v>
      </c>
      <c r="P58" s="1010">
        <f t="shared" si="24"/>
        <v>555656.39999999991</v>
      </c>
      <c r="R58" s="1016">
        <f t="shared" si="43"/>
        <v>26886.6</v>
      </c>
      <c r="S58" s="1605">
        <f t="shared" si="40"/>
        <v>4.8387096774193554E-2</v>
      </c>
      <c r="T58" s="1009">
        <f t="shared" si="44"/>
        <v>528769.79999999993</v>
      </c>
      <c r="U58" s="1616">
        <f t="shared" si="42"/>
        <v>0.95161290322580649</v>
      </c>
      <c r="V58" s="1009"/>
      <c r="W58" s="1008"/>
      <c r="X58" s="1019"/>
      <c r="Z58" s="46">
        <f t="shared" si="29"/>
        <v>0</v>
      </c>
    </row>
    <row r="59" spans="2:26" outlineLevel="1">
      <c r="B59" s="1007" t="s">
        <v>5</v>
      </c>
      <c r="C59" s="1008" t="s">
        <v>208</v>
      </c>
      <c r="D59" s="1008" t="s">
        <v>1563</v>
      </c>
      <c r="E59" s="1011" t="s">
        <v>0</v>
      </c>
      <c r="F59" s="1008"/>
      <c r="G59" s="1009"/>
      <c r="H59" s="1012">
        <f>'N_02 Vstupy'!C159</f>
        <v>81646.610880441265</v>
      </c>
      <c r="I59" s="1012">
        <f>'N_02 Vstupy'!D159</f>
        <v>337656.91482701048</v>
      </c>
      <c r="J59" s="1012">
        <f>'N_02 Vstupy'!E159</f>
        <v>519545.82318714162</v>
      </c>
      <c r="K59" s="1012">
        <f>'N_02 Vstupy'!F159</f>
        <v>688505.29808765615</v>
      </c>
      <c r="L59" s="1012">
        <f>'N_02 Vstupy'!G159</f>
        <v>860822.18626824522</v>
      </c>
      <c r="M59" s="1012">
        <f>'N_02 Vstupy'!H159</f>
        <v>1036664.7719967484</v>
      </c>
      <c r="N59" s="1012">
        <f>'N_02 Vstupy'!I159</f>
        <v>1216207.7219301877</v>
      </c>
      <c r="O59" s="1012">
        <f>'N_02 Vstupy'!J159</f>
        <v>1399632.5526538081</v>
      </c>
      <c r="P59" s="1010">
        <f t="shared" si="24"/>
        <v>6140681.8798312396</v>
      </c>
      <c r="R59" s="1222">
        <v>0</v>
      </c>
      <c r="S59" s="1606">
        <f t="shared" si="40"/>
        <v>0</v>
      </c>
      <c r="T59" s="1012">
        <v>0</v>
      </c>
      <c r="U59" s="1617">
        <f t="shared" si="42"/>
        <v>0</v>
      </c>
      <c r="V59" s="1012">
        <f>P59</f>
        <v>6140681.8798312396</v>
      </c>
      <c r="W59" s="1008"/>
      <c r="X59" s="1019"/>
      <c r="Z59" s="46">
        <f t="shared" si="29"/>
        <v>-6140681.8798312396</v>
      </c>
    </row>
    <row r="60" spans="2:26" outlineLevel="1">
      <c r="B60" s="1002"/>
      <c r="C60" s="1003" t="s">
        <v>1372</v>
      </c>
      <c r="D60" s="1004"/>
      <c r="E60" s="1004"/>
      <c r="F60" s="1005">
        <f>SUM(F61:F63)</f>
        <v>369429.45</v>
      </c>
      <c r="G60" s="1005">
        <f t="shared" ref="G60:O60" si="45">SUM(G61:G63)</f>
        <v>869701.95</v>
      </c>
      <c r="H60" s="1005">
        <f t="shared" si="45"/>
        <v>1093834.95</v>
      </c>
      <c r="I60" s="1005">
        <f t="shared" si="45"/>
        <v>670527</v>
      </c>
      <c r="J60" s="1005">
        <f t="shared" si="45"/>
        <v>670527</v>
      </c>
      <c r="K60" s="1005">
        <f t="shared" si="45"/>
        <v>624351</v>
      </c>
      <c r="L60" s="1005">
        <f t="shared" si="45"/>
        <v>624351</v>
      </c>
      <c r="M60" s="1005">
        <f t="shared" si="45"/>
        <v>624351</v>
      </c>
      <c r="N60" s="1005">
        <f t="shared" si="45"/>
        <v>624351</v>
      </c>
      <c r="O60" s="1005">
        <f t="shared" si="45"/>
        <v>624351</v>
      </c>
      <c r="P60" s="1006">
        <f t="shared" si="24"/>
        <v>6795775.3499999996</v>
      </c>
      <c r="R60" s="1007"/>
      <c r="S60" s="1605"/>
      <c r="T60" s="1009"/>
      <c r="U60" s="1616"/>
      <c r="V60" s="1009"/>
      <c r="W60" s="1008"/>
      <c r="X60" s="1019"/>
      <c r="Z60" s="46"/>
    </row>
    <row r="61" spans="2:26" outlineLevel="1">
      <c r="B61" s="1007" t="s">
        <v>5</v>
      </c>
      <c r="C61" s="1008" t="s">
        <v>209</v>
      </c>
      <c r="D61" s="1008" t="s">
        <v>210</v>
      </c>
      <c r="E61" s="1008" t="s">
        <v>0</v>
      </c>
      <c r="F61" s="1009">
        <f>'N_02 Vstupy'!$C$54</f>
        <v>69264</v>
      </c>
      <c r="G61" s="1009">
        <f>'N_02 Vstupy'!$D$54</f>
        <v>138528</v>
      </c>
      <c r="H61" s="1009">
        <f>'N_02 Vstupy'!$E$54</f>
        <v>138528</v>
      </c>
      <c r="I61" s="1009">
        <f>'N_02 Vstupy'!$F$54</f>
        <v>92352</v>
      </c>
      <c r="J61" s="1009">
        <f>'N_02 Vstupy'!$G$54</f>
        <v>92352</v>
      </c>
      <c r="K61" s="1009">
        <f>'N_02 Vstupy'!$H$54</f>
        <v>46176</v>
      </c>
      <c r="L61" s="1009">
        <f>'N_02 Vstupy'!$I$54</f>
        <v>46176</v>
      </c>
      <c r="M61" s="1009">
        <f>'N_02 Vstupy'!$J$54</f>
        <v>46176</v>
      </c>
      <c r="N61" s="1009">
        <f>'N_02 Vstupy'!$K$54</f>
        <v>46176</v>
      </c>
      <c r="O61" s="1009">
        <f>'N_02 Vstupy'!$L$54</f>
        <v>46176</v>
      </c>
      <c r="P61" s="1010">
        <f t="shared" si="24"/>
        <v>761904</v>
      </c>
      <c r="R61" s="1016">
        <f t="shared" ref="R61:R63" si="46">SUM(F61:G61,H61/2)</f>
        <v>277056</v>
      </c>
      <c r="S61" s="1605">
        <f t="shared" ref="S61:S63" si="47">R61/P61</f>
        <v>0.36363636363636365</v>
      </c>
      <c r="T61" s="1009">
        <f t="shared" ref="T61:T63" si="48">SUM(H61/2,I61:O61)</f>
        <v>484848</v>
      </c>
      <c r="U61" s="1616">
        <f t="shared" ref="U61:U63" si="49">T61/P61</f>
        <v>0.63636363636363635</v>
      </c>
      <c r="V61" s="1009"/>
      <c r="W61" s="1008"/>
      <c r="X61" s="1019"/>
      <c r="Z61" s="46">
        <f t="shared" si="29"/>
        <v>0</v>
      </c>
    </row>
    <row r="62" spans="2:26" outlineLevel="1">
      <c r="B62" s="1007" t="s">
        <v>5</v>
      </c>
      <c r="C62" s="1008" t="s">
        <v>205</v>
      </c>
      <c r="D62" s="1008" t="s">
        <v>404</v>
      </c>
      <c r="E62" s="1008" t="s">
        <v>0</v>
      </c>
      <c r="F62" s="1009">
        <f>'N_02 Vstupy'!$C$58</f>
        <v>300165.45</v>
      </c>
      <c r="G62" s="1009">
        <f>'N_02 Vstupy'!$D$58</f>
        <v>731173.95</v>
      </c>
      <c r="H62" s="1009">
        <f>'N_02 Vstupy'!$E$58</f>
        <v>377131.95</v>
      </c>
      <c r="I62" s="1009">
        <f>'N_02 Vstupy'!$F$58</f>
        <v>0</v>
      </c>
      <c r="J62" s="1009">
        <f>'N_02 Vstupy'!$G$58</f>
        <v>0</v>
      </c>
      <c r="K62" s="1009">
        <f>'N_02 Vstupy'!$H$58</f>
        <v>0</v>
      </c>
      <c r="L62" s="1009">
        <f>'N_02 Vstupy'!$I$58</f>
        <v>0</v>
      </c>
      <c r="M62" s="1009">
        <f>'N_02 Vstupy'!$J$58</f>
        <v>0</v>
      </c>
      <c r="N62" s="1009">
        <f>'N_02 Vstupy'!$K$58</f>
        <v>0</v>
      </c>
      <c r="O62" s="1009">
        <f>'N_02 Vstupy'!$L$58</f>
        <v>0</v>
      </c>
      <c r="P62" s="1010">
        <f t="shared" si="24"/>
        <v>1408471.3499999999</v>
      </c>
      <c r="R62" s="1016">
        <f t="shared" si="46"/>
        <v>1219905.375</v>
      </c>
      <c r="S62" s="1605">
        <f t="shared" si="47"/>
        <v>0.86612012022821772</v>
      </c>
      <c r="T62" s="1009">
        <f t="shared" si="48"/>
        <v>188565.97500000001</v>
      </c>
      <c r="U62" s="1616">
        <f t="shared" si="49"/>
        <v>0.1338798797717824</v>
      </c>
      <c r="V62" s="1009"/>
      <c r="W62" s="1008"/>
      <c r="X62" s="1019"/>
      <c r="Z62" s="46">
        <f t="shared" si="29"/>
        <v>0</v>
      </c>
    </row>
    <row r="63" spans="2:26" outlineLevel="1">
      <c r="B63" s="1007" t="s">
        <v>5</v>
      </c>
      <c r="C63" s="1008" t="s">
        <v>205</v>
      </c>
      <c r="D63" s="1008" t="s">
        <v>402</v>
      </c>
      <c r="E63" s="1008" t="s">
        <v>0</v>
      </c>
      <c r="F63" s="1009">
        <f>'N_02 Vstupy'!$C$68</f>
        <v>0</v>
      </c>
      <c r="G63" s="1009">
        <f>'N_02 Vstupy'!$D$68</f>
        <v>0</v>
      </c>
      <c r="H63" s="1009">
        <f>'N_02 Vstupy'!E$68</f>
        <v>578175</v>
      </c>
      <c r="I63" s="1009">
        <f>'N_02 Vstupy'!$F$68</f>
        <v>578175</v>
      </c>
      <c r="J63" s="1009">
        <f>'N_02 Vstupy'!$G$68</f>
        <v>578175</v>
      </c>
      <c r="K63" s="1009">
        <f>'N_02 Vstupy'!$H$68</f>
        <v>578175</v>
      </c>
      <c r="L63" s="1009">
        <f>'N_02 Vstupy'!$I$68</f>
        <v>578175</v>
      </c>
      <c r="M63" s="1009">
        <f>'N_02 Vstupy'!$J$68</f>
        <v>578175</v>
      </c>
      <c r="N63" s="1009">
        <f>'N_02 Vstupy'!$K$68</f>
        <v>578175</v>
      </c>
      <c r="O63" s="1009">
        <f>'N_02 Vstupy'!$L$68</f>
        <v>578175</v>
      </c>
      <c r="P63" s="1010">
        <f t="shared" si="24"/>
        <v>4625400</v>
      </c>
      <c r="R63" s="1016">
        <f t="shared" si="46"/>
        <v>289087.5</v>
      </c>
      <c r="S63" s="1605">
        <f t="shared" si="47"/>
        <v>6.25E-2</v>
      </c>
      <c r="T63" s="1009">
        <f t="shared" si="48"/>
        <v>4336312.5</v>
      </c>
      <c r="U63" s="1616">
        <f t="shared" si="49"/>
        <v>0.9375</v>
      </c>
      <c r="V63" s="1009"/>
      <c r="W63" s="1008"/>
      <c r="X63" s="1019"/>
      <c r="Z63" s="46">
        <f t="shared" si="29"/>
        <v>0</v>
      </c>
    </row>
    <row r="64" spans="2:26" outlineLevel="1">
      <c r="B64" s="1002"/>
      <c r="C64" s="1003" t="s">
        <v>1430</v>
      </c>
      <c r="D64" s="1004"/>
      <c r="E64" s="1004"/>
      <c r="F64" s="1005">
        <f>SUM(F65)</f>
        <v>594432</v>
      </c>
      <c r="G64" s="1005">
        <f t="shared" ref="G64:O64" si="50">SUM(G65)</f>
        <v>1188864</v>
      </c>
      <c r="H64" s="1005">
        <f t="shared" si="50"/>
        <v>1188864</v>
      </c>
      <c r="I64" s="1005">
        <f t="shared" si="50"/>
        <v>0</v>
      </c>
      <c r="J64" s="1005">
        <f t="shared" si="50"/>
        <v>0</v>
      </c>
      <c r="K64" s="1005">
        <f t="shared" si="50"/>
        <v>0</v>
      </c>
      <c r="L64" s="1005">
        <f t="shared" si="50"/>
        <v>0</v>
      </c>
      <c r="M64" s="1005">
        <f t="shared" si="50"/>
        <v>0</v>
      </c>
      <c r="N64" s="1005">
        <f t="shared" si="50"/>
        <v>0</v>
      </c>
      <c r="O64" s="1005">
        <f t="shared" si="50"/>
        <v>0</v>
      </c>
      <c r="P64" s="1006">
        <f t="shared" si="24"/>
        <v>2972160</v>
      </c>
      <c r="R64" s="1007"/>
      <c r="S64" s="1605"/>
      <c r="T64" s="1009"/>
      <c r="U64" s="1616"/>
      <c r="V64" s="1009"/>
      <c r="W64" s="1008"/>
      <c r="X64" s="1019"/>
      <c r="Z64" s="46"/>
    </row>
    <row r="65" spans="2:26" outlineLevel="1">
      <c r="B65" s="1007" t="s">
        <v>5</v>
      </c>
      <c r="C65" s="1008" t="s">
        <v>209</v>
      </c>
      <c r="D65" s="1008" t="s">
        <v>211</v>
      </c>
      <c r="E65" s="1008" t="s">
        <v>0</v>
      </c>
      <c r="F65" s="1009">
        <f>'N_02 Vstupy'!$D$102*1.2</f>
        <v>594432</v>
      </c>
      <c r="G65" s="1009">
        <f>'N_02 Vstupy'!$F$102*1.2</f>
        <v>1188864</v>
      </c>
      <c r="H65" s="1009">
        <f>'N_02 Vstupy'!$H$102*1.2</f>
        <v>1188864</v>
      </c>
      <c r="I65" s="1009">
        <f>'N_02 Vstupy'!$J$102*1.2</f>
        <v>0</v>
      </c>
      <c r="J65" s="1009"/>
      <c r="K65" s="1009"/>
      <c r="L65" s="1009"/>
      <c r="M65" s="1009"/>
      <c r="N65" s="1009"/>
      <c r="O65" s="1009"/>
      <c r="P65" s="1010">
        <f t="shared" si="24"/>
        <v>2972160</v>
      </c>
      <c r="R65" s="1016">
        <f t="shared" ref="R65" si="51">SUM(F65:G65,H65/2)</f>
        <v>2377728</v>
      </c>
      <c r="S65" s="1605">
        <f t="shared" ref="S65" si="52">R65/P65</f>
        <v>0.8</v>
      </c>
      <c r="T65" s="1009">
        <f t="shared" ref="T65" si="53">SUM(H65/2,I65:O65)</f>
        <v>594432</v>
      </c>
      <c r="U65" s="1616">
        <f t="shared" ref="U65" si="54">T65/P65</f>
        <v>0.2</v>
      </c>
      <c r="V65" s="1009"/>
      <c r="W65" s="1008"/>
      <c r="X65" s="1019"/>
      <c r="Z65" s="46">
        <f t="shared" si="29"/>
        <v>0</v>
      </c>
    </row>
    <row r="66" spans="2:26" outlineLevel="1">
      <c r="B66" s="1002"/>
      <c r="C66" s="1003" t="s">
        <v>1373</v>
      </c>
      <c r="D66" s="1004"/>
      <c r="E66" s="1004"/>
      <c r="F66" s="1005">
        <f>SUM(F67)</f>
        <v>0</v>
      </c>
      <c r="G66" s="1005">
        <f t="shared" ref="G66:O66" si="55">SUM(G67)</f>
        <v>478884</v>
      </c>
      <c r="H66" s="1005">
        <f t="shared" si="55"/>
        <v>1915536</v>
      </c>
      <c r="I66" s="1005">
        <f t="shared" si="55"/>
        <v>60000</v>
      </c>
      <c r="J66" s="1005">
        <f t="shared" si="55"/>
        <v>60000</v>
      </c>
      <c r="K66" s="1005">
        <f t="shared" si="55"/>
        <v>0</v>
      </c>
      <c r="L66" s="1005">
        <f t="shared" si="55"/>
        <v>0</v>
      </c>
      <c r="M66" s="1005">
        <f t="shared" si="55"/>
        <v>0</v>
      </c>
      <c r="N66" s="1005">
        <f t="shared" si="55"/>
        <v>0</v>
      </c>
      <c r="O66" s="1005">
        <f t="shared" si="55"/>
        <v>0</v>
      </c>
      <c r="P66" s="1010">
        <f t="shared" si="24"/>
        <v>2514420</v>
      </c>
      <c r="R66" s="1007"/>
      <c r="S66" s="1605"/>
      <c r="T66" s="1009"/>
      <c r="U66" s="1616"/>
      <c r="V66" s="1009"/>
      <c r="W66" s="1008"/>
      <c r="X66" s="1019"/>
      <c r="Z66" s="46"/>
    </row>
    <row r="67" spans="2:26" ht="12.75" outlineLevel="1" thickBot="1">
      <c r="B67" s="1013" t="s">
        <v>5</v>
      </c>
      <c r="C67" s="1014" t="s">
        <v>1431</v>
      </c>
      <c r="D67" s="1014" t="s">
        <v>1431</v>
      </c>
      <c r="E67" s="1014" t="s">
        <v>0</v>
      </c>
      <c r="F67" s="1015"/>
      <c r="G67" s="1015">
        <f>'N_02 Vstupy'!$C$113*1.2</f>
        <v>478884</v>
      </c>
      <c r="H67" s="1015">
        <f>'N_02 Vstupy'!$D$113*1.2</f>
        <v>1915536</v>
      </c>
      <c r="I67" s="1015">
        <f>'N_02 Vstupy'!$E$113*1.2</f>
        <v>60000</v>
      </c>
      <c r="J67" s="1015">
        <f>'N_02 Vstupy'!$F$113*1.2</f>
        <v>60000</v>
      </c>
      <c r="K67" s="1015"/>
      <c r="L67" s="1015"/>
      <c r="M67" s="1015"/>
      <c r="N67" s="1015"/>
      <c r="O67" s="1015"/>
      <c r="P67" s="1026">
        <f t="shared" si="24"/>
        <v>2514420</v>
      </c>
      <c r="R67" s="1020">
        <f t="shared" ref="R67" si="56">SUM(F67:G67,H67/2)</f>
        <v>1436652</v>
      </c>
      <c r="S67" s="1608">
        <f t="shared" ref="S67" si="57">R67/P67</f>
        <v>0.57136516572410334</v>
      </c>
      <c r="T67" s="1015">
        <f t="shared" ref="T67" si="58">SUM(H67/2,I67:O67)</f>
        <v>1077768</v>
      </c>
      <c r="U67" s="1619">
        <f t="shared" ref="U67" si="59">T67/P67</f>
        <v>0.4286348342758966</v>
      </c>
      <c r="V67" s="1015"/>
      <c r="W67" s="1014"/>
      <c r="X67" s="1021"/>
      <c r="Z67" s="46">
        <f t="shared" si="29"/>
        <v>0</v>
      </c>
    </row>
    <row r="68" spans="2:26" outlineLevel="1">
      <c r="P68" s="953"/>
      <c r="R68" s="46"/>
      <c r="T68" s="46"/>
      <c r="V68" s="46"/>
    </row>
    <row r="69" spans="2:26" ht="12.75" outlineLevel="1" thickBot="1">
      <c r="P69" s="953"/>
      <c r="R69" s="46">
        <f>SUM(R71,R82)</f>
        <v>60981565.124844566</v>
      </c>
      <c r="S69" s="46"/>
      <c r="T69" s="46">
        <f>R69-R70</f>
        <v>34481565.124844566</v>
      </c>
      <c r="V69" s="46"/>
    </row>
    <row r="70" spans="2:26" customFormat="1" ht="15">
      <c r="B70" s="1030" t="s">
        <v>682</v>
      </c>
      <c r="C70" s="1031"/>
      <c r="D70" s="1031"/>
      <c r="E70" s="1031"/>
      <c r="F70" s="1032">
        <f t="shared" ref="F70:O70" si="60">SUM(F71,F82)</f>
        <v>963861.45</v>
      </c>
      <c r="G70" s="1032">
        <f t="shared" si="60"/>
        <v>9559753.9499999993</v>
      </c>
      <c r="H70" s="1032">
        <f t="shared" si="60"/>
        <v>53965677.449689142</v>
      </c>
      <c r="I70" s="1032">
        <f t="shared" si="60"/>
        <v>5411514.3038181504</v>
      </c>
      <c r="J70" s="1032">
        <f t="shared" si="60"/>
        <v>5620186.8231243612</v>
      </c>
      <c r="K70" s="1032">
        <f t="shared" si="60"/>
        <v>5720848.187110614</v>
      </c>
      <c r="L70" s="1032">
        <f t="shared" si="60"/>
        <v>6620330.1491441019</v>
      </c>
      <c r="M70" s="1032">
        <f t="shared" si="60"/>
        <v>6840244.4925728738</v>
      </c>
      <c r="N70" s="1032">
        <f t="shared" si="60"/>
        <v>7064810.0770630874</v>
      </c>
      <c r="O70" s="1032">
        <f t="shared" si="60"/>
        <v>7294254.3784954315</v>
      </c>
      <c r="P70" s="1033">
        <f>SUM(F70:O70)</f>
        <v>109061481.26101775</v>
      </c>
      <c r="R70" s="1034">
        <f>IF(SUM(R71,R82)&gt;26500000,26500000,SUM(R71,R82))</f>
        <v>26500000</v>
      </c>
      <c r="S70" s="1600">
        <f>R70/P70</f>
        <v>0.24298221235944273</v>
      </c>
      <c r="T70" s="1035">
        <f>IF(SUM(R71,R82)&gt;26500000,(SUM(T71,T82)+(SUM(R71,R82)-26500000)),SUM(T71,T82))</f>
        <v>82561481.26101777</v>
      </c>
      <c r="U70" s="1614">
        <f>T70/P70</f>
        <v>0.75701778764055738</v>
      </c>
      <c r="V70" s="1035"/>
      <c r="W70" s="1036">
        <f>SUM(W72:W100)</f>
        <v>0</v>
      </c>
      <c r="X70" s="1037">
        <f>SUM(X72:X100)</f>
        <v>0</v>
      </c>
      <c r="Y70" s="1038"/>
      <c r="Z70" s="1038">
        <f>SUM(R70,T70)-P70</f>
        <v>0</v>
      </c>
    </row>
    <row r="71" spans="2:26">
      <c r="B71" s="998" t="s">
        <v>1370</v>
      </c>
      <c r="C71" s="999"/>
      <c r="D71" s="999"/>
      <c r="E71" s="999"/>
      <c r="F71" s="1000">
        <f t="shared" ref="F71:O71" si="61">SUM(F72,F77,F80)</f>
        <v>0</v>
      </c>
      <c r="G71" s="1000">
        <f t="shared" si="61"/>
        <v>3602304</v>
      </c>
      <c r="H71" s="1000">
        <f t="shared" si="61"/>
        <v>46950222</v>
      </c>
      <c r="I71" s="1000">
        <f t="shared" si="61"/>
        <v>0</v>
      </c>
      <c r="J71" s="1000">
        <f t="shared" si="61"/>
        <v>0</v>
      </c>
      <c r="K71" s="1000">
        <f t="shared" si="61"/>
        <v>0</v>
      </c>
      <c r="L71" s="1000">
        <f t="shared" si="61"/>
        <v>0</v>
      </c>
      <c r="M71" s="1000">
        <f t="shared" si="61"/>
        <v>0</v>
      </c>
      <c r="N71" s="1000">
        <f t="shared" si="61"/>
        <v>0</v>
      </c>
      <c r="O71" s="1000">
        <f t="shared" si="61"/>
        <v>0</v>
      </c>
      <c r="P71" s="1001">
        <f t="shared" ref="P71:P100" si="62">SUM(F71:O71)</f>
        <v>50552526</v>
      </c>
      <c r="R71" s="1027">
        <f>SUM(R72:R81)</f>
        <v>50552526</v>
      </c>
      <c r="S71" s="1604">
        <f t="shared" ref="S71" si="63">R71/P71</f>
        <v>1</v>
      </c>
      <c r="T71" s="1005">
        <f>SUM(T72:T81)</f>
        <v>0</v>
      </c>
      <c r="U71" s="1615">
        <f t="shared" ref="U71" si="64">T71/P71</f>
        <v>0</v>
      </c>
      <c r="V71" s="1005"/>
      <c r="W71" s="1022"/>
      <c r="X71" s="1023"/>
      <c r="Y71" s="46"/>
      <c r="Z71" s="46">
        <f>SUM(R71,T71)-P71</f>
        <v>0</v>
      </c>
    </row>
    <row r="72" spans="2:26" customFormat="1" ht="15" outlineLevel="1">
      <c r="B72" s="1002"/>
      <c r="C72" s="1003" t="s">
        <v>1426</v>
      </c>
      <c r="D72" s="1003"/>
      <c r="E72" s="1004"/>
      <c r="F72" s="1005">
        <f t="shared" ref="F72:O72" si="65">SUM(F73:F76)</f>
        <v>0</v>
      </c>
      <c r="G72" s="1005">
        <f t="shared" si="65"/>
        <v>3602304</v>
      </c>
      <c r="H72" s="1005">
        <f t="shared" si="65"/>
        <v>4561920</v>
      </c>
      <c r="I72" s="1005">
        <f t="shared" si="65"/>
        <v>0</v>
      </c>
      <c r="J72" s="1005">
        <f t="shared" si="65"/>
        <v>0</v>
      </c>
      <c r="K72" s="1005">
        <f t="shared" si="65"/>
        <v>0</v>
      </c>
      <c r="L72" s="1005">
        <f t="shared" si="65"/>
        <v>0</v>
      </c>
      <c r="M72" s="1005">
        <f t="shared" si="65"/>
        <v>0</v>
      </c>
      <c r="N72" s="1005">
        <f t="shared" si="65"/>
        <v>0</v>
      </c>
      <c r="O72" s="1005">
        <f t="shared" si="65"/>
        <v>0</v>
      </c>
      <c r="P72" s="1006">
        <f t="shared" si="62"/>
        <v>8164224</v>
      </c>
      <c r="R72" s="1016"/>
      <c r="S72" s="1605"/>
      <c r="T72" s="1009"/>
      <c r="U72" s="1616"/>
      <c r="V72" s="1009"/>
      <c r="W72" s="1017"/>
      <c r="X72" s="1018"/>
      <c r="Z72" s="46"/>
    </row>
    <row r="73" spans="2:26" outlineLevel="1">
      <c r="B73" s="1007" t="s">
        <v>7</v>
      </c>
      <c r="C73" s="1008" t="s">
        <v>205</v>
      </c>
      <c r="D73" s="1008" t="s">
        <v>198</v>
      </c>
      <c r="E73" s="1008" t="s">
        <v>0</v>
      </c>
      <c r="F73" s="1009"/>
      <c r="G73" s="1654">
        <f>'N_02 Vstupy'!$F$182*1.2</f>
        <v>0</v>
      </c>
      <c r="H73" s="1009"/>
      <c r="I73" s="1009"/>
      <c r="J73" s="1009"/>
      <c r="K73" s="1009"/>
      <c r="L73" s="1009"/>
      <c r="M73" s="1009"/>
      <c r="N73" s="1009"/>
      <c r="O73" s="1009"/>
      <c r="P73" s="1010">
        <f>SUM(F73:O73)</f>
        <v>0</v>
      </c>
      <c r="R73" s="1016">
        <f t="shared" ref="R73:R76" si="66">SUM(F73:H73)</f>
        <v>0</v>
      </c>
      <c r="S73" s="1605" t="e">
        <f t="shared" ref="S73:S76" si="67">R73/P73</f>
        <v>#DIV/0!</v>
      </c>
      <c r="T73" s="1009">
        <f t="shared" ref="T73:T76" si="68">SUM(I73:O73)-W73-X73</f>
        <v>0</v>
      </c>
      <c r="U73" s="1616" t="e">
        <f t="shared" ref="U73:U76" si="69">T73/P73</f>
        <v>#DIV/0!</v>
      </c>
      <c r="V73" s="1009"/>
      <c r="W73" s="1008"/>
      <c r="X73" s="1019"/>
      <c r="Z73" s="46">
        <f t="shared" ref="Z73:Z100" si="70">SUM(R73,T73)-P73</f>
        <v>0</v>
      </c>
    </row>
    <row r="74" spans="2:26" outlineLevel="1">
      <c r="B74" s="1007" t="s">
        <v>7</v>
      </c>
      <c r="C74" s="1008" t="s">
        <v>205</v>
      </c>
      <c r="D74" s="1008" t="s">
        <v>1615</v>
      </c>
      <c r="E74" s="1008" t="s">
        <v>0</v>
      </c>
      <c r="F74" s="1009"/>
      <c r="G74" s="1654">
        <f>('N_02 Vstupy'!$F$184*1.2)/2</f>
        <v>3602304</v>
      </c>
      <c r="H74" s="1654">
        <f>('N_02 Vstupy'!$F$184*1.2)/2</f>
        <v>3602304</v>
      </c>
      <c r="I74" s="1009"/>
      <c r="J74" s="1009"/>
      <c r="K74" s="1009"/>
      <c r="L74" s="1009"/>
      <c r="M74" s="1009"/>
      <c r="N74" s="1009"/>
      <c r="O74" s="1009"/>
      <c r="P74" s="1010">
        <f>SUM(F74:O74)</f>
        <v>7204608</v>
      </c>
      <c r="R74" s="1016">
        <f t="shared" si="66"/>
        <v>7204608</v>
      </c>
      <c r="S74" s="1605">
        <f t="shared" si="67"/>
        <v>1</v>
      </c>
      <c r="T74" s="1009">
        <f t="shared" si="68"/>
        <v>0</v>
      </c>
      <c r="U74" s="1616">
        <f t="shared" si="69"/>
        <v>0</v>
      </c>
      <c r="V74" s="1009"/>
      <c r="W74" s="1008"/>
      <c r="X74" s="1019"/>
      <c r="Z74" s="46">
        <f t="shared" si="70"/>
        <v>0</v>
      </c>
    </row>
    <row r="75" spans="2:26" outlineLevel="1">
      <c r="B75" s="1007" t="s">
        <v>7</v>
      </c>
      <c r="C75" s="1008" t="s">
        <v>1572</v>
      </c>
      <c r="D75" s="1008" t="s">
        <v>1616</v>
      </c>
      <c r="E75" s="1008" t="s">
        <v>0</v>
      </c>
      <c r="F75" s="1009"/>
      <c r="G75" s="1009"/>
      <c r="H75" s="1654">
        <f>'N_02 Vstupy'!$F$190*1.2</f>
        <v>300096</v>
      </c>
      <c r="I75" s="1009"/>
      <c r="J75" s="1009"/>
      <c r="K75" s="1009"/>
      <c r="L75" s="1009"/>
      <c r="M75" s="1009"/>
      <c r="N75" s="1009"/>
      <c r="O75" s="1009"/>
      <c r="P75" s="1010">
        <f t="shared" si="62"/>
        <v>300096</v>
      </c>
      <c r="R75" s="1016">
        <f t="shared" si="66"/>
        <v>300096</v>
      </c>
      <c r="S75" s="1605">
        <f t="shared" si="67"/>
        <v>1</v>
      </c>
      <c r="T75" s="1009">
        <f t="shared" si="68"/>
        <v>0</v>
      </c>
      <c r="U75" s="1616">
        <f t="shared" si="69"/>
        <v>0</v>
      </c>
      <c r="V75" s="1009"/>
      <c r="W75" s="1008"/>
      <c r="X75" s="1019"/>
      <c r="Z75" s="46">
        <f t="shared" si="70"/>
        <v>0</v>
      </c>
    </row>
    <row r="76" spans="2:26" outlineLevel="1">
      <c r="B76" s="1007" t="s">
        <v>7</v>
      </c>
      <c r="C76" s="1008" t="s">
        <v>1573</v>
      </c>
      <c r="D76" s="1008" t="s">
        <v>1614</v>
      </c>
      <c r="E76" s="1008" t="s">
        <v>0</v>
      </c>
      <c r="F76" s="1009"/>
      <c r="G76" s="1009"/>
      <c r="H76" s="1654">
        <f>'N_02 Vstupy'!$F$192*1.2</f>
        <v>659520</v>
      </c>
      <c r="I76" s="1009"/>
      <c r="J76" s="1009"/>
      <c r="K76" s="1009"/>
      <c r="L76" s="1009"/>
      <c r="M76" s="1009"/>
      <c r="N76" s="1009"/>
      <c r="O76" s="1009"/>
      <c r="P76" s="1010">
        <f t="shared" si="62"/>
        <v>659520</v>
      </c>
      <c r="R76" s="1016">
        <f t="shared" si="66"/>
        <v>659520</v>
      </c>
      <c r="S76" s="1605">
        <f t="shared" si="67"/>
        <v>1</v>
      </c>
      <c r="T76" s="1009">
        <f t="shared" si="68"/>
        <v>0</v>
      </c>
      <c r="U76" s="1616">
        <f t="shared" si="69"/>
        <v>0</v>
      </c>
      <c r="V76" s="1009"/>
      <c r="W76" s="1008"/>
      <c r="X76" s="1019"/>
      <c r="Z76" s="46">
        <f t="shared" si="70"/>
        <v>0</v>
      </c>
    </row>
    <row r="77" spans="2:26" outlineLevel="1" collapsed="1">
      <c r="B77" s="1002"/>
      <c r="C77" s="1003" t="s">
        <v>1427</v>
      </c>
      <c r="D77" s="1004"/>
      <c r="E77" s="1004"/>
      <c r="F77" s="1005">
        <f t="shared" ref="F77:O77" si="71">SUM(F78:F79)</f>
        <v>0</v>
      </c>
      <c r="G77" s="1005">
        <f t="shared" si="71"/>
        <v>0</v>
      </c>
      <c r="H77" s="1005">
        <f>SUM(H78:H79)</f>
        <v>3585168</v>
      </c>
      <c r="I77" s="1005">
        <f t="shared" si="71"/>
        <v>0</v>
      </c>
      <c r="J77" s="1005">
        <f t="shared" si="71"/>
        <v>0</v>
      </c>
      <c r="K77" s="1005">
        <f t="shared" si="71"/>
        <v>0</v>
      </c>
      <c r="L77" s="1005">
        <f t="shared" si="71"/>
        <v>0</v>
      </c>
      <c r="M77" s="1005">
        <f t="shared" si="71"/>
        <v>0</v>
      </c>
      <c r="N77" s="1005">
        <f t="shared" si="71"/>
        <v>0</v>
      </c>
      <c r="O77" s="1005">
        <f t="shared" si="71"/>
        <v>0</v>
      </c>
      <c r="P77" s="1006">
        <f t="shared" si="62"/>
        <v>3585168</v>
      </c>
      <c r="R77" s="1007"/>
      <c r="S77" s="1605"/>
      <c r="T77" s="1009"/>
      <c r="U77" s="1616"/>
      <c r="V77" s="1009"/>
      <c r="W77" s="1008"/>
      <c r="X77" s="1019"/>
      <c r="Z77" s="46"/>
    </row>
    <row r="78" spans="2:26" outlineLevel="1">
      <c r="B78" s="1007" t="s">
        <v>7</v>
      </c>
      <c r="C78" s="1008" t="s">
        <v>206</v>
      </c>
      <c r="D78" s="1008" t="s">
        <v>205</v>
      </c>
      <c r="E78" s="1008" t="s">
        <v>0</v>
      </c>
      <c r="F78" s="1009"/>
      <c r="G78" s="1009"/>
      <c r="H78" s="1009">
        <f>'N_02 Vstupy'!$I$146*1.2</f>
        <v>1170000</v>
      </c>
      <c r="I78" s="1009"/>
      <c r="J78" s="1009"/>
      <c r="K78" s="1009"/>
      <c r="L78" s="1009"/>
      <c r="M78" s="1009"/>
      <c r="N78" s="1009"/>
      <c r="O78" s="1009"/>
      <c r="P78" s="1010">
        <f t="shared" si="62"/>
        <v>1170000</v>
      </c>
      <c r="R78" s="1016">
        <f>SUM(F78:H78)</f>
        <v>1170000</v>
      </c>
      <c r="S78" s="1605">
        <f t="shared" ref="S78:S79" si="72">R78/P78</f>
        <v>1</v>
      </c>
      <c r="T78" s="1009">
        <f t="shared" ref="T78:T79" si="73">SUM(I78:O78)-W78-X78</f>
        <v>0</v>
      </c>
      <c r="U78" s="1616">
        <f t="shared" ref="U78:U79" si="74">T78/P78</f>
        <v>0</v>
      </c>
      <c r="V78" s="1009"/>
      <c r="W78" s="1008"/>
      <c r="X78" s="1019"/>
      <c r="Z78" s="46">
        <f t="shared" si="70"/>
        <v>0</v>
      </c>
    </row>
    <row r="79" spans="2:26" outlineLevel="1">
      <c r="B79" s="1007" t="s">
        <v>7</v>
      </c>
      <c r="C79" s="1008" t="s">
        <v>1560</v>
      </c>
      <c r="D79" s="1008" t="s">
        <v>1630</v>
      </c>
      <c r="E79" s="1011" t="s">
        <v>1631</v>
      </c>
      <c r="F79" s="1009"/>
      <c r="G79" s="1009"/>
      <c r="H79" s="1654">
        <f>'N_02 Vstupy'!$F$193*1.2</f>
        <v>2415168</v>
      </c>
      <c r="I79" s="1009"/>
      <c r="J79" s="1009"/>
      <c r="K79" s="1009"/>
      <c r="L79" s="1009"/>
      <c r="M79" s="1009"/>
      <c r="N79" s="1009"/>
      <c r="O79" s="1009"/>
      <c r="P79" s="1010">
        <f t="shared" si="62"/>
        <v>2415168</v>
      </c>
      <c r="R79" s="1222">
        <f>SUM(F79:H79)</f>
        <v>2415168</v>
      </c>
      <c r="S79" s="1606">
        <f t="shared" si="72"/>
        <v>1</v>
      </c>
      <c r="T79" s="1012">
        <f t="shared" si="73"/>
        <v>0</v>
      </c>
      <c r="U79" s="1617">
        <f t="shared" si="74"/>
        <v>0</v>
      </c>
      <c r="V79" s="1012"/>
      <c r="W79" s="1008"/>
      <c r="X79" s="1019"/>
      <c r="Z79" s="46">
        <f t="shared" si="70"/>
        <v>0</v>
      </c>
    </row>
    <row r="80" spans="2:26" outlineLevel="1">
      <c r="B80" s="1002"/>
      <c r="C80" s="1003" t="s">
        <v>1428</v>
      </c>
      <c r="D80" s="1004"/>
      <c r="E80" s="1004"/>
      <c r="F80" s="1005">
        <f t="shared" ref="F80:O80" si="75">SUM(F81:F81)</f>
        <v>0</v>
      </c>
      <c r="G80" s="1005">
        <f t="shared" si="75"/>
        <v>0</v>
      </c>
      <c r="H80" s="1005">
        <f t="shared" si="75"/>
        <v>38803134</v>
      </c>
      <c r="I80" s="1005">
        <f t="shared" si="75"/>
        <v>0</v>
      </c>
      <c r="J80" s="1005">
        <f t="shared" si="75"/>
        <v>0</v>
      </c>
      <c r="K80" s="1005">
        <f t="shared" si="75"/>
        <v>0</v>
      </c>
      <c r="L80" s="1005">
        <f t="shared" si="75"/>
        <v>0</v>
      </c>
      <c r="M80" s="1005">
        <f t="shared" si="75"/>
        <v>0</v>
      </c>
      <c r="N80" s="1005">
        <f t="shared" si="75"/>
        <v>0</v>
      </c>
      <c r="O80" s="1005">
        <f t="shared" si="75"/>
        <v>0</v>
      </c>
      <c r="P80" s="1006">
        <f t="shared" si="62"/>
        <v>38803134</v>
      </c>
      <c r="R80" s="1007"/>
      <c r="S80" s="1605"/>
      <c r="T80" s="1009"/>
      <c r="U80" s="1616"/>
      <c r="V80" s="1009"/>
      <c r="W80" s="1008"/>
      <c r="X80" s="1019"/>
      <c r="Z80" s="46"/>
    </row>
    <row r="81" spans="2:26" outlineLevel="1">
      <c r="B81" s="1007" t="s">
        <v>7</v>
      </c>
      <c r="C81" s="1008" t="s">
        <v>208</v>
      </c>
      <c r="D81" s="1008" t="s">
        <v>1603</v>
      </c>
      <c r="E81" s="1008" t="s">
        <v>0</v>
      </c>
      <c r="F81" s="1009"/>
      <c r="G81" s="1009"/>
      <c r="H81" s="1009">
        <f>'N_02 Vstupy'!L134*1.2</f>
        <v>38803134</v>
      </c>
      <c r="I81" s="1009"/>
      <c r="J81" s="1009"/>
      <c r="K81" s="1009"/>
      <c r="L81" s="1009"/>
      <c r="M81" s="1009"/>
      <c r="N81" s="1009"/>
      <c r="O81" s="1009"/>
      <c r="P81" s="1010">
        <f t="shared" si="62"/>
        <v>38803134</v>
      </c>
      <c r="R81" s="1016">
        <f>SUM(F81:H81)</f>
        <v>38803134</v>
      </c>
      <c r="S81" s="1605">
        <f t="shared" ref="S81:S82" si="76">R81/P81</f>
        <v>1</v>
      </c>
      <c r="T81" s="1009">
        <f t="shared" ref="T81" si="77">SUM(I81:O81)-W81-X81</f>
        <v>0</v>
      </c>
      <c r="U81" s="1616">
        <f t="shared" ref="U81:U82" si="78">T81/P81</f>
        <v>0</v>
      </c>
      <c r="V81" s="1009"/>
      <c r="W81" s="1008"/>
      <c r="X81" s="1019"/>
      <c r="Z81" s="46">
        <f t="shared" si="70"/>
        <v>0</v>
      </c>
    </row>
    <row r="82" spans="2:26" outlineLevel="1">
      <c r="B82" s="998" t="s">
        <v>1371</v>
      </c>
      <c r="C82" s="999"/>
      <c r="D82" s="999"/>
      <c r="E82" s="1000"/>
      <c r="F82" s="1000">
        <f t="shared" ref="F82:O82" si="79">F83+F93+F97+F99</f>
        <v>963861.45</v>
      </c>
      <c r="G82" s="1000">
        <f t="shared" si="79"/>
        <v>5957449.9500000002</v>
      </c>
      <c r="H82" s="1000">
        <f t="shared" si="79"/>
        <v>7015455.4496891415</v>
      </c>
      <c r="I82" s="1000">
        <f t="shared" si="79"/>
        <v>5411514.3038181504</v>
      </c>
      <c r="J82" s="1000">
        <f t="shared" si="79"/>
        <v>5620186.8231243612</v>
      </c>
      <c r="K82" s="1000">
        <f t="shared" si="79"/>
        <v>5720848.187110614</v>
      </c>
      <c r="L82" s="1000">
        <f t="shared" si="79"/>
        <v>6620330.1491441019</v>
      </c>
      <c r="M82" s="1000">
        <f t="shared" si="79"/>
        <v>6840244.4925728738</v>
      </c>
      <c r="N82" s="1000">
        <f t="shared" si="79"/>
        <v>7064810.0770630874</v>
      </c>
      <c r="O82" s="1000">
        <f t="shared" si="79"/>
        <v>7294254.3784954315</v>
      </c>
      <c r="P82" s="1001">
        <f t="shared" si="62"/>
        <v>58508955.261017762</v>
      </c>
      <c r="R82" s="1028">
        <f>SUM(R83:R100)</f>
        <v>10429039.12484457</v>
      </c>
      <c r="S82" s="1607">
        <f t="shared" si="76"/>
        <v>0.17824688679397824</v>
      </c>
      <c r="T82" s="1029">
        <f>SUM(T83:T100)</f>
        <v>48079916.136173196</v>
      </c>
      <c r="U82" s="1618">
        <f t="shared" si="78"/>
        <v>0.82175311320602185</v>
      </c>
      <c r="V82" s="1029"/>
      <c r="W82" s="1024"/>
      <c r="X82" s="1025"/>
      <c r="Z82" s="46">
        <f t="shared" si="70"/>
        <v>0</v>
      </c>
    </row>
    <row r="83" spans="2:26" outlineLevel="1">
      <c r="B83" s="1002"/>
      <c r="C83" s="1003" t="s">
        <v>1429</v>
      </c>
      <c r="D83" s="1004"/>
      <c r="E83" s="1004"/>
      <c r="F83" s="1005">
        <f>SUM(F84:F92)</f>
        <v>0</v>
      </c>
      <c r="G83" s="1005">
        <f t="shared" ref="G83:O83" si="80">SUM(G84:G92)</f>
        <v>3420000</v>
      </c>
      <c r="H83" s="1005">
        <f t="shared" si="80"/>
        <v>2817220.4996891413</v>
      </c>
      <c r="I83" s="1005">
        <f t="shared" si="80"/>
        <v>4680987.3038181504</v>
      </c>
      <c r="J83" s="1005">
        <f t="shared" si="80"/>
        <v>4889659.8231243612</v>
      </c>
      <c r="K83" s="1005">
        <f t="shared" si="80"/>
        <v>5096497.187110614</v>
      </c>
      <c r="L83" s="1005">
        <f t="shared" si="80"/>
        <v>5995979.1491441019</v>
      </c>
      <c r="M83" s="1005">
        <f t="shared" si="80"/>
        <v>6215893.4925728738</v>
      </c>
      <c r="N83" s="1005">
        <f t="shared" si="80"/>
        <v>6440459.0770630874</v>
      </c>
      <c r="O83" s="1005">
        <f t="shared" si="80"/>
        <v>6669903.3784954315</v>
      </c>
      <c r="P83" s="1006">
        <f t="shared" si="62"/>
        <v>46226599.911017761</v>
      </c>
      <c r="R83" s="1007"/>
      <c r="S83" s="1605"/>
      <c r="T83" s="1008"/>
      <c r="U83" s="1616"/>
      <c r="V83" s="1008"/>
      <c r="W83" s="1008"/>
      <c r="X83" s="1019"/>
      <c r="Z83" s="46"/>
    </row>
    <row r="84" spans="2:26" outlineLevel="1">
      <c r="B84" s="1007" t="s">
        <v>5</v>
      </c>
      <c r="C84" s="1008" t="s">
        <v>205</v>
      </c>
      <c r="D84" s="1008" t="s">
        <v>3</v>
      </c>
      <c r="E84" s="1008" t="s">
        <v>0</v>
      </c>
      <c r="F84" s="1009"/>
      <c r="G84" s="1654">
        <f>'N_02 Vstupy'!$F$178*1.2</f>
        <v>3420000</v>
      </c>
      <c r="H84" s="1009"/>
      <c r="I84" s="1009"/>
      <c r="J84" s="1009"/>
      <c r="K84" s="1009"/>
      <c r="L84" s="1654">
        <f>'N_02 Vstupy'!$H$181*1.2</f>
        <v>684000</v>
      </c>
      <c r="M84" s="1654">
        <f>'N_02 Vstupy'!$H$181*1.2</f>
        <v>684000</v>
      </c>
      <c r="N84" s="1654">
        <f>'N_02 Vstupy'!$H$181*1.2</f>
        <v>684000</v>
      </c>
      <c r="O84" s="1654">
        <f>'N_02 Vstupy'!$H$181*1.2</f>
        <v>684000</v>
      </c>
      <c r="P84" s="1010">
        <f>SUM(F84:O84)</f>
        <v>6156000</v>
      </c>
      <c r="R84" s="1016">
        <f>SUM(F84:H84)</f>
        <v>3420000</v>
      </c>
      <c r="S84" s="1605">
        <f>R84/P84</f>
        <v>0.55555555555555558</v>
      </c>
      <c r="T84" s="1009">
        <f>SUM(I84:O84)-W84-X84</f>
        <v>2736000</v>
      </c>
      <c r="U84" s="1616">
        <f>T84/P84</f>
        <v>0.44444444444444442</v>
      </c>
      <c r="V84" s="1009"/>
      <c r="W84" s="1008"/>
      <c r="X84" s="1019"/>
      <c r="Z84" s="46">
        <f>SUM(R84,T84)-P84</f>
        <v>0</v>
      </c>
    </row>
    <row r="85" spans="2:26" outlineLevel="1">
      <c r="B85" s="1007" t="s">
        <v>5</v>
      </c>
      <c r="C85" s="1008" t="s">
        <v>205</v>
      </c>
      <c r="D85" s="1008" t="s">
        <v>1425</v>
      </c>
      <c r="E85" s="1008" t="s">
        <v>0</v>
      </c>
      <c r="F85" s="1008"/>
      <c r="G85" s="1009"/>
      <c r="H85" s="1654">
        <f>'N_02 Vstupy'!$F$183*1.2</f>
        <v>0</v>
      </c>
      <c r="I85" s="1654">
        <f>'N_02 Vstupy'!$F$183*1.2</f>
        <v>0</v>
      </c>
      <c r="J85" s="1654">
        <f>'N_02 Vstupy'!$F$183*1.2</f>
        <v>0</v>
      </c>
      <c r="K85" s="1654">
        <f>'N_02 Vstupy'!$F$183*1.2</f>
        <v>0</v>
      </c>
      <c r="L85" s="1654">
        <f>'N_02 Vstupy'!$F$183*1.2</f>
        <v>0</v>
      </c>
      <c r="M85" s="1654">
        <f>'N_02 Vstupy'!$F$183*1.2</f>
        <v>0</v>
      </c>
      <c r="N85" s="1654">
        <f>'N_02 Vstupy'!$F$183*1.2</f>
        <v>0</v>
      </c>
      <c r="O85" s="1654">
        <f>'N_02 Vstupy'!$F$183*1.2</f>
        <v>0</v>
      </c>
      <c r="P85" s="1010">
        <f t="shared" si="62"/>
        <v>0</v>
      </c>
      <c r="R85" s="1016">
        <f>SUM(F85:H85)</f>
        <v>0</v>
      </c>
      <c r="S85" s="1605" t="e">
        <f t="shared" ref="S85:S92" si="81">R85/P85</f>
        <v>#DIV/0!</v>
      </c>
      <c r="T85" s="1009">
        <f t="shared" ref="T85:T86" si="82">SUM(I85:O85)-W85-X85</f>
        <v>0</v>
      </c>
      <c r="U85" s="1616" t="e">
        <f t="shared" ref="U85:U92" si="83">T85/P85</f>
        <v>#DIV/0!</v>
      </c>
      <c r="V85" s="1009"/>
      <c r="W85" s="1008"/>
      <c r="X85" s="1019"/>
      <c r="Z85" s="46">
        <f t="shared" si="70"/>
        <v>0</v>
      </c>
    </row>
    <row r="86" spans="2:26" outlineLevel="1">
      <c r="B86" s="1007" t="s">
        <v>5</v>
      </c>
      <c r="C86" s="1008" t="s">
        <v>205</v>
      </c>
      <c r="D86" s="1008" t="s">
        <v>259</v>
      </c>
      <c r="E86" s="1008" t="s">
        <v>0</v>
      </c>
      <c r="F86" s="1009"/>
      <c r="G86" s="1009"/>
      <c r="H86" s="1654">
        <f>'N_02 Vstupy'!$F$180*1.2</f>
        <v>0</v>
      </c>
      <c r="I86" s="1654">
        <f>'N_02 Vstupy'!$F$180*1.2</f>
        <v>0</v>
      </c>
      <c r="J86" s="1654">
        <f>'N_02 Vstupy'!$F$180*1.2</f>
        <v>0</v>
      </c>
      <c r="K86" s="1654">
        <f>'N_02 Vstupy'!$F$180*1.2</f>
        <v>0</v>
      </c>
      <c r="L86" s="1654">
        <f>'N_02 Vstupy'!$F$180*1.2</f>
        <v>0</v>
      </c>
      <c r="M86" s="1654">
        <f>'N_02 Vstupy'!$F$180*1.2</f>
        <v>0</v>
      </c>
      <c r="N86" s="1654">
        <f>'N_02 Vstupy'!$F$180*1.2</f>
        <v>0</v>
      </c>
      <c r="O86" s="1654">
        <f>'N_02 Vstupy'!$F$180*1.2</f>
        <v>0</v>
      </c>
      <c r="P86" s="1010">
        <f t="shared" si="62"/>
        <v>0</v>
      </c>
      <c r="R86" s="1016">
        <f>SUM(F86:H86)</f>
        <v>0</v>
      </c>
      <c r="S86" s="1605" t="e">
        <f t="shared" si="81"/>
        <v>#DIV/0!</v>
      </c>
      <c r="T86" s="1009">
        <f t="shared" si="82"/>
        <v>0</v>
      </c>
      <c r="U86" s="1616" t="e">
        <f t="shared" si="83"/>
        <v>#DIV/0!</v>
      </c>
      <c r="V86" s="1009"/>
      <c r="W86" s="1008"/>
      <c r="X86" s="1019"/>
      <c r="Z86" s="46">
        <f t="shared" si="70"/>
        <v>0</v>
      </c>
    </row>
    <row r="87" spans="2:26" outlineLevel="1">
      <c r="B87" s="1007" t="s">
        <v>5</v>
      </c>
      <c r="C87" s="1008" t="s">
        <v>205</v>
      </c>
      <c r="D87" s="1008" t="s">
        <v>1566</v>
      </c>
      <c r="E87" s="1008" t="s">
        <v>0</v>
      </c>
      <c r="F87" s="1008"/>
      <c r="G87" s="1009"/>
      <c r="H87" s="1654">
        <f>('N_02 Vstupy'!$G$185*1.2)/2</f>
        <v>900000</v>
      </c>
      <c r="I87" s="1654">
        <f>'N_02 Vstupy'!$G$185*1.2</f>
        <v>1800000</v>
      </c>
      <c r="J87" s="1654">
        <f>'N_02 Vstupy'!$G$185*1.2</f>
        <v>1800000</v>
      </c>
      <c r="K87" s="1654">
        <f>'N_02 Vstupy'!$G$185*1.2</f>
        <v>1800000</v>
      </c>
      <c r="L87" s="1654">
        <f>'N_02 Vstupy'!$G$185*1.2</f>
        <v>1800000</v>
      </c>
      <c r="M87" s="1654">
        <f>'N_02 Vstupy'!$G$185*1.2</f>
        <v>1800000</v>
      </c>
      <c r="N87" s="1654">
        <f>'N_02 Vstupy'!$G$185*1.2</f>
        <v>1800000</v>
      </c>
      <c r="O87" s="1654">
        <f>'N_02 Vstupy'!$G$185*1.2</f>
        <v>1800000</v>
      </c>
      <c r="P87" s="1010">
        <f t="shared" si="62"/>
        <v>13500000</v>
      </c>
      <c r="R87" s="1016">
        <f>SUM(F87:G87,H87/2)</f>
        <v>450000</v>
      </c>
      <c r="S87" s="1605">
        <f t="shared" si="81"/>
        <v>3.3333333333333333E-2</v>
      </c>
      <c r="T87" s="1009">
        <f>SUM(H87/2,I87:O87)</f>
        <v>13050000</v>
      </c>
      <c r="U87" s="1616">
        <f t="shared" si="83"/>
        <v>0.96666666666666667</v>
      </c>
      <c r="V87" s="1009"/>
      <c r="W87" s="1008"/>
      <c r="X87" s="1019"/>
      <c r="Z87" s="46">
        <f t="shared" si="70"/>
        <v>0</v>
      </c>
    </row>
    <row r="88" spans="2:26" outlineLevel="1">
      <c r="B88" s="1007" t="s">
        <v>5</v>
      </c>
      <c r="C88" s="1008" t="s">
        <v>205</v>
      </c>
      <c r="D88" s="1008" t="s">
        <v>1660</v>
      </c>
      <c r="E88" s="1008" t="s">
        <v>0</v>
      </c>
      <c r="F88" s="1008"/>
      <c r="G88" s="1009"/>
      <c r="H88" s="1009">
        <f>'N_02 Vstupy'!$G$186*1.2</f>
        <v>0</v>
      </c>
      <c r="I88" s="1009">
        <f>'N_02 Vstupy'!$G$186*1.2</f>
        <v>0</v>
      </c>
      <c r="J88" s="1009">
        <f>'N_02 Vstupy'!$G$186*1.2</f>
        <v>0</v>
      </c>
      <c r="K88" s="1009">
        <f>'N_02 Vstupy'!$G$186*1.2</f>
        <v>0</v>
      </c>
      <c r="L88" s="1009">
        <f>'N_02 Vstupy'!$G$186*1.2</f>
        <v>0</v>
      </c>
      <c r="M88" s="1009">
        <f>'N_02 Vstupy'!$G$186*1.2</f>
        <v>0</v>
      </c>
      <c r="N88" s="1009">
        <f>'N_02 Vstupy'!$G$186*1.2</f>
        <v>0</v>
      </c>
      <c r="O88" s="1009">
        <f>'N_02 Vstupy'!$G$186*1.2</f>
        <v>0</v>
      </c>
      <c r="P88" s="1010">
        <f t="shared" si="62"/>
        <v>0</v>
      </c>
      <c r="R88" s="1016">
        <f>SUM(F88:G88,H88/2)</f>
        <v>0</v>
      </c>
      <c r="S88" s="1605" t="e">
        <f t="shared" si="81"/>
        <v>#DIV/0!</v>
      </c>
      <c r="T88" s="1009">
        <f>SUM(H88/2,I88:O88)</f>
        <v>0</v>
      </c>
      <c r="U88" s="1616" t="e">
        <f t="shared" si="83"/>
        <v>#DIV/0!</v>
      </c>
      <c r="V88" s="1009"/>
      <c r="W88" s="1008"/>
      <c r="X88" s="1019"/>
      <c r="Z88" s="46">
        <f t="shared" si="70"/>
        <v>0</v>
      </c>
    </row>
    <row r="89" spans="2:26" outlineLevel="1">
      <c r="B89" s="1007" t="s">
        <v>5</v>
      </c>
      <c r="C89" s="1008" t="s">
        <v>205</v>
      </c>
      <c r="D89" s="1008" t="s">
        <v>10</v>
      </c>
      <c r="E89" s="1008" t="s">
        <v>0</v>
      </c>
      <c r="F89" s="1009"/>
      <c r="G89" s="1009"/>
      <c r="H89" s="1654"/>
      <c r="I89" s="1654"/>
      <c r="J89" s="1654"/>
      <c r="K89" s="1654"/>
      <c r="L89" s="1654"/>
      <c r="M89" s="1654"/>
      <c r="N89" s="1654"/>
      <c r="O89" s="1654"/>
      <c r="P89" s="1010">
        <f t="shared" si="62"/>
        <v>0</v>
      </c>
      <c r="R89" s="1016">
        <f t="shared" ref="R89:R92" si="84">SUM(F89:G89,H89/2)</f>
        <v>0</v>
      </c>
      <c r="S89" s="1605" t="e">
        <f t="shared" si="81"/>
        <v>#DIV/0!</v>
      </c>
      <c r="T89" s="1009">
        <f t="shared" ref="T89:T92" si="85">SUM(H89/2,I89:O89)</f>
        <v>0</v>
      </c>
      <c r="U89" s="1616" t="e">
        <f t="shared" si="83"/>
        <v>#DIV/0!</v>
      </c>
      <c r="V89" s="1009"/>
      <c r="W89" s="1008"/>
      <c r="X89" s="1019"/>
      <c r="Z89" s="46">
        <f t="shared" si="70"/>
        <v>0</v>
      </c>
    </row>
    <row r="90" spans="2:26" outlineLevel="1">
      <c r="B90" s="1007" t="s">
        <v>5</v>
      </c>
      <c r="C90" s="1008" t="s">
        <v>208</v>
      </c>
      <c r="D90" s="1008" t="s">
        <v>1567</v>
      </c>
      <c r="E90" s="1011" t="s">
        <v>0</v>
      </c>
      <c r="F90" s="1008"/>
      <c r="G90" s="1009"/>
      <c r="H90" s="1009">
        <f>'N_02 Vstupy'!$L$140*1.2*0.75</f>
        <v>1739995.5599999996</v>
      </c>
      <c r="I90" s="1009">
        <f>'N_02 Vstupy'!$L$140*1.2</f>
        <v>2319994.0799999996</v>
      </c>
      <c r="J90" s="1009">
        <f>'N_02 Vstupy'!$L$140*1.2</f>
        <v>2319994.0799999996</v>
      </c>
      <c r="K90" s="1009">
        <f>'N_02 Vstupy'!$L$140*1.2</f>
        <v>2319994.0799999996</v>
      </c>
      <c r="L90" s="1009">
        <f>'N_02 Vstupy'!$L$140*1.2</f>
        <v>2319994.0799999996</v>
      </c>
      <c r="M90" s="1009">
        <f>'N_02 Vstupy'!$L$140*1.2</f>
        <v>2319994.0799999996</v>
      </c>
      <c r="N90" s="1009">
        <f>'N_02 Vstupy'!$L$140*1.2</f>
        <v>2319994.0799999996</v>
      </c>
      <c r="O90" s="1009">
        <f>'N_02 Vstupy'!$L$140*1.2</f>
        <v>2319994.0799999996</v>
      </c>
      <c r="P90" s="1010">
        <f t="shared" si="62"/>
        <v>17979954.119999997</v>
      </c>
      <c r="R90" s="1222">
        <f t="shared" si="84"/>
        <v>869997.7799999998</v>
      </c>
      <c r="S90" s="1606">
        <f t="shared" si="81"/>
        <v>4.8387096774193547E-2</v>
      </c>
      <c r="T90" s="1012">
        <f t="shared" si="85"/>
        <v>17109956.34</v>
      </c>
      <c r="U90" s="1617">
        <f t="shared" si="83"/>
        <v>0.95161290322580661</v>
      </c>
      <c r="V90" s="1012"/>
      <c r="W90" s="1008"/>
      <c r="X90" s="1019"/>
      <c r="Z90" s="46">
        <f t="shared" si="70"/>
        <v>0</v>
      </c>
    </row>
    <row r="91" spans="2:26" outlineLevel="1">
      <c r="B91" s="1007" t="s">
        <v>5</v>
      </c>
      <c r="C91" s="1008" t="s">
        <v>208</v>
      </c>
      <c r="D91" s="1008" t="s">
        <v>1562</v>
      </c>
      <c r="E91" s="1008" t="s">
        <v>0</v>
      </c>
      <c r="F91" s="1008"/>
      <c r="G91" s="1009"/>
      <c r="H91" s="1009">
        <f>'N_02 Vstupy'!$L$141*1.2*0.75</f>
        <v>53773.2</v>
      </c>
      <c r="I91" s="1009">
        <f>'N_02 Vstupy'!$L$141*1.2</f>
        <v>71697.599999999991</v>
      </c>
      <c r="J91" s="1009">
        <f>'N_02 Vstupy'!$L$141*1.2</f>
        <v>71697.599999999991</v>
      </c>
      <c r="K91" s="1009">
        <f>'N_02 Vstupy'!$L$141*1.2</f>
        <v>71697.599999999991</v>
      </c>
      <c r="L91" s="1009">
        <f>'N_02 Vstupy'!$L$141*1.2</f>
        <v>71697.599999999991</v>
      </c>
      <c r="M91" s="1009">
        <f>'N_02 Vstupy'!$L$141*1.2</f>
        <v>71697.599999999991</v>
      </c>
      <c r="N91" s="1009">
        <f>'N_02 Vstupy'!$L$141*1.2</f>
        <v>71697.599999999991</v>
      </c>
      <c r="O91" s="1009">
        <f>'N_02 Vstupy'!$L$141*1.2</f>
        <v>71697.599999999991</v>
      </c>
      <c r="P91" s="1010">
        <f t="shared" si="62"/>
        <v>555656.39999999991</v>
      </c>
      <c r="R91" s="1016">
        <f t="shared" si="84"/>
        <v>26886.6</v>
      </c>
      <c r="S91" s="1605">
        <f t="shared" si="81"/>
        <v>4.8387096774193554E-2</v>
      </c>
      <c r="T91" s="1009">
        <f t="shared" si="85"/>
        <v>528769.79999999993</v>
      </c>
      <c r="U91" s="1616">
        <f t="shared" si="83"/>
        <v>0.95161290322580649</v>
      </c>
      <c r="V91" s="1009"/>
      <c r="W91" s="1008"/>
      <c r="X91" s="1019"/>
      <c r="Z91" s="46">
        <f t="shared" si="70"/>
        <v>0</v>
      </c>
    </row>
    <row r="92" spans="2:26" outlineLevel="1">
      <c r="B92" s="1007" t="s">
        <v>5</v>
      </c>
      <c r="C92" s="1008" t="s">
        <v>208</v>
      </c>
      <c r="D92" s="1008" t="s">
        <v>1563</v>
      </c>
      <c r="E92" s="1011" t="s">
        <v>0</v>
      </c>
      <c r="F92" s="1008"/>
      <c r="G92" s="1009"/>
      <c r="H92" s="1009">
        <f>'N_02 Vstupy'!C164</f>
        <v>123451.7396891416</v>
      </c>
      <c r="I92" s="1009">
        <f>'N_02 Vstupy'!D164</f>
        <v>489295.62381815113</v>
      </c>
      <c r="J92" s="1009">
        <f>'N_02 Vstupy'!E164</f>
        <v>697968.14312436176</v>
      </c>
      <c r="K92" s="1009">
        <f>'N_02 Vstupy'!F164</f>
        <v>904805.50711061386</v>
      </c>
      <c r="L92" s="1009">
        <f>'N_02 Vstupy'!G164</f>
        <v>1120287.469144102</v>
      </c>
      <c r="M92" s="1009">
        <f>'N_02 Vstupy'!H164</f>
        <v>1340201.8125728739</v>
      </c>
      <c r="N92" s="1009">
        <f>'N_02 Vstupy'!I164</f>
        <v>1564767.3970630881</v>
      </c>
      <c r="O92" s="1009">
        <f>'N_02 Vstupy'!J164</f>
        <v>1794211.6984954316</v>
      </c>
      <c r="P92" s="1010">
        <f t="shared" si="62"/>
        <v>8034989.3910177639</v>
      </c>
      <c r="R92" s="1222">
        <f t="shared" si="84"/>
        <v>61725.8698445708</v>
      </c>
      <c r="S92" s="1606">
        <f t="shared" si="81"/>
        <v>7.6821345792408326E-3</v>
      </c>
      <c r="T92" s="1012">
        <f t="shared" si="85"/>
        <v>7973263.5211731931</v>
      </c>
      <c r="U92" s="1617">
        <f t="shared" si="83"/>
        <v>0.99231786542075917</v>
      </c>
      <c r="V92" s="1012"/>
      <c r="W92" s="1008"/>
      <c r="X92" s="1019"/>
      <c r="Z92" s="46">
        <f t="shared" si="70"/>
        <v>0</v>
      </c>
    </row>
    <row r="93" spans="2:26" outlineLevel="1">
      <c r="B93" s="1002"/>
      <c r="C93" s="1003" t="s">
        <v>1372</v>
      </c>
      <c r="D93" s="1004"/>
      <c r="E93" s="1004"/>
      <c r="F93" s="1005">
        <f>SUM(F94:F96)</f>
        <v>369429.45</v>
      </c>
      <c r="G93" s="1005">
        <f t="shared" ref="G93:O93" si="86">SUM(G94:G96)</f>
        <v>869701.95</v>
      </c>
      <c r="H93" s="1005">
        <f t="shared" si="86"/>
        <v>1093834.95</v>
      </c>
      <c r="I93" s="1005">
        <f t="shared" si="86"/>
        <v>670527</v>
      </c>
      <c r="J93" s="1005">
        <f t="shared" si="86"/>
        <v>670527</v>
      </c>
      <c r="K93" s="1005">
        <f t="shared" si="86"/>
        <v>624351</v>
      </c>
      <c r="L93" s="1005">
        <f t="shared" si="86"/>
        <v>624351</v>
      </c>
      <c r="M93" s="1005">
        <f t="shared" si="86"/>
        <v>624351</v>
      </c>
      <c r="N93" s="1005">
        <f t="shared" si="86"/>
        <v>624351</v>
      </c>
      <c r="O93" s="1005">
        <f t="shared" si="86"/>
        <v>624351</v>
      </c>
      <c r="P93" s="1006">
        <f t="shared" si="62"/>
        <v>6795775.3499999996</v>
      </c>
      <c r="R93" s="1007"/>
      <c r="S93" s="1605"/>
      <c r="T93" s="1009"/>
      <c r="U93" s="1616"/>
      <c r="V93" s="1009"/>
      <c r="W93" s="1008"/>
      <c r="X93" s="1019"/>
      <c r="Z93" s="46"/>
    </row>
    <row r="94" spans="2:26" outlineLevel="1">
      <c r="B94" s="1007" t="s">
        <v>5</v>
      </c>
      <c r="C94" s="1008" t="s">
        <v>209</v>
      </c>
      <c r="D94" s="1008" t="s">
        <v>210</v>
      </c>
      <c r="E94" s="1008" t="s">
        <v>0</v>
      </c>
      <c r="F94" s="1009">
        <f>'N_02 Vstupy'!$C$54</f>
        <v>69264</v>
      </c>
      <c r="G94" s="1009">
        <f>'N_02 Vstupy'!$D$54</f>
        <v>138528</v>
      </c>
      <c r="H94" s="1009">
        <f>'N_02 Vstupy'!$E$54</f>
        <v>138528</v>
      </c>
      <c r="I94" s="1009">
        <f>'N_02 Vstupy'!$F$54</f>
        <v>92352</v>
      </c>
      <c r="J94" s="1009">
        <f>'N_02 Vstupy'!$G$54</f>
        <v>92352</v>
      </c>
      <c r="K94" s="1009">
        <f>'N_02 Vstupy'!$H$54</f>
        <v>46176</v>
      </c>
      <c r="L94" s="1009">
        <f>'N_02 Vstupy'!$I$54</f>
        <v>46176</v>
      </c>
      <c r="M94" s="1009">
        <f>'N_02 Vstupy'!$J$54</f>
        <v>46176</v>
      </c>
      <c r="N94" s="1009">
        <f>'N_02 Vstupy'!$K$54</f>
        <v>46176</v>
      </c>
      <c r="O94" s="1009">
        <f>'N_02 Vstupy'!$L$54</f>
        <v>46176</v>
      </c>
      <c r="P94" s="1010">
        <f t="shared" si="62"/>
        <v>761904</v>
      </c>
      <c r="R94" s="1016">
        <f t="shared" ref="R94:R96" si="87">SUM(F94:G94,H94/2)</f>
        <v>277056</v>
      </c>
      <c r="S94" s="1605">
        <f t="shared" ref="S94:S96" si="88">R94/P94</f>
        <v>0.36363636363636365</v>
      </c>
      <c r="T94" s="1009">
        <f t="shared" ref="T94:T96" si="89">SUM(H94/2,I94:O94)</f>
        <v>484848</v>
      </c>
      <c r="U94" s="1616">
        <f t="shared" ref="U94:U96" si="90">T94/P94</f>
        <v>0.63636363636363635</v>
      </c>
      <c r="V94" s="1009"/>
      <c r="W94" s="1008"/>
      <c r="X94" s="1019"/>
      <c r="Z94" s="46">
        <f t="shared" si="70"/>
        <v>0</v>
      </c>
    </row>
    <row r="95" spans="2:26" outlineLevel="1">
      <c r="B95" s="1007" t="s">
        <v>5</v>
      </c>
      <c r="C95" s="1008" t="s">
        <v>205</v>
      </c>
      <c r="D95" s="1008" t="s">
        <v>404</v>
      </c>
      <c r="E95" s="1008" t="s">
        <v>0</v>
      </c>
      <c r="F95" s="1009">
        <f>'N_02 Vstupy'!$C$58</f>
        <v>300165.45</v>
      </c>
      <c r="G95" s="1009">
        <f>'N_02 Vstupy'!$D$58</f>
        <v>731173.95</v>
      </c>
      <c r="H95" s="1009">
        <f>'N_02 Vstupy'!$E$58</f>
        <v>377131.95</v>
      </c>
      <c r="I95" s="1009">
        <f>'N_02 Vstupy'!$F$58</f>
        <v>0</v>
      </c>
      <c r="J95" s="1009">
        <f>'N_02 Vstupy'!$G$58</f>
        <v>0</v>
      </c>
      <c r="K95" s="1009">
        <f>'N_02 Vstupy'!$H$58</f>
        <v>0</v>
      </c>
      <c r="L95" s="1009">
        <f>'N_02 Vstupy'!$I$58</f>
        <v>0</v>
      </c>
      <c r="M95" s="1009">
        <f>'N_02 Vstupy'!$J$58</f>
        <v>0</v>
      </c>
      <c r="N95" s="1009">
        <f>'N_02 Vstupy'!$K$58</f>
        <v>0</v>
      </c>
      <c r="O95" s="1009">
        <f>'N_02 Vstupy'!$L$58</f>
        <v>0</v>
      </c>
      <c r="P95" s="1010">
        <f t="shared" si="62"/>
        <v>1408471.3499999999</v>
      </c>
      <c r="R95" s="1016">
        <f t="shared" si="87"/>
        <v>1219905.375</v>
      </c>
      <c r="S95" s="1605">
        <f t="shared" si="88"/>
        <v>0.86612012022821772</v>
      </c>
      <c r="T95" s="1009">
        <f t="shared" si="89"/>
        <v>188565.97500000001</v>
      </c>
      <c r="U95" s="1616">
        <f t="shared" si="90"/>
        <v>0.1338798797717824</v>
      </c>
      <c r="V95" s="1009"/>
      <c r="W95" s="1008"/>
      <c r="X95" s="1019"/>
      <c r="Z95" s="46">
        <f t="shared" si="70"/>
        <v>0</v>
      </c>
    </row>
    <row r="96" spans="2:26" outlineLevel="1">
      <c r="B96" s="1007" t="s">
        <v>5</v>
      </c>
      <c r="C96" s="1008" t="s">
        <v>205</v>
      </c>
      <c r="D96" s="1008" t="s">
        <v>402</v>
      </c>
      <c r="E96" s="1008" t="s">
        <v>0</v>
      </c>
      <c r="F96" s="1009">
        <f>'N_02 Vstupy'!$C$68</f>
        <v>0</v>
      </c>
      <c r="G96" s="1009">
        <f>'N_02 Vstupy'!$D$68</f>
        <v>0</v>
      </c>
      <c r="H96" s="1009">
        <f>'N_02 Vstupy'!E$68</f>
        <v>578175</v>
      </c>
      <c r="I96" s="1009">
        <f>'N_02 Vstupy'!$F$68</f>
        <v>578175</v>
      </c>
      <c r="J96" s="1009">
        <f>'N_02 Vstupy'!$G$68</f>
        <v>578175</v>
      </c>
      <c r="K96" s="1009">
        <f>'N_02 Vstupy'!$H$68</f>
        <v>578175</v>
      </c>
      <c r="L96" s="1009">
        <f>'N_02 Vstupy'!$I$68</f>
        <v>578175</v>
      </c>
      <c r="M96" s="1009">
        <f>'N_02 Vstupy'!$J$68</f>
        <v>578175</v>
      </c>
      <c r="N96" s="1009">
        <f>'N_02 Vstupy'!$K$68</f>
        <v>578175</v>
      </c>
      <c r="O96" s="1009">
        <f>'N_02 Vstupy'!$L$68</f>
        <v>578175</v>
      </c>
      <c r="P96" s="1010">
        <f t="shared" si="62"/>
        <v>4625400</v>
      </c>
      <c r="R96" s="1016">
        <f t="shared" si="87"/>
        <v>289087.5</v>
      </c>
      <c r="S96" s="1605">
        <f t="shared" si="88"/>
        <v>6.25E-2</v>
      </c>
      <c r="T96" s="1009">
        <f t="shared" si="89"/>
        <v>4336312.5</v>
      </c>
      <c r="U96" s="1616">
        <f t="shared" si="90"/>
        <v>0.9375</v>
      </c>
      <c r="V96" s="1009"/>
      <c r="W96" s="1008"/>
      <c r="X96" s="1019"/>
      <c r="Z96" s="46">
        <f t="shared" si="70"/>
        <v>0</v>
      </c>
    </row>
    <row r="97" spans="2:26" outlineLevel="1">
      <c r="B97" s="1002"/>
      <c r="C97" s="1003" t="s">
        <v>1430</v>
      </c>
      <c r="D97" s="1004"/>
      <c r="E97" s="1004"/>
      <c r="F97" s="1005">
        <f>SUM(F98)</f>
        <v>594432</v>
      </c>
      <c r="G97" s="1005">
        <f t="shared" ref="G97:O97" si="91">SUM(G98)</f>
        <v>1188864</v>
      </c>
      <c r="H97" s="1005">
        <f t="shared" si="91"/>
        <v>1188864</v>
      </c>
      <c r="I97" s="1005">
        <f t="shared" si="91"/>
        <v>0</v>
      </c>
      <c r="J97" s="1005">
        <f t="shared" si="91"/>
        <v>0</v>
      </c>
      <c r="K97" s="1005">
        <f t="shared" si="91"/>
        <v>0</v>
      </c>
      <c r="L97" s="1005">
        <f t="shared" si="91"/>
        <v>0</v>
      </c>
      <c r="M97" s="1005">
        <f t="shared" si="91"/>
        <v>0</v>
      </c>
      <c r="N97" s="1005">
        <f t="shared" si="91"/>
        <v>0</v>
      </c>
      <c r="O97" s="1005">
        <f t="shared" si="91"/>
        <v>0</v>
      </c>
      <c r="P97" s="1006">
        <f t="shared" si="62"/>
        <v>2972160</v>
      </c>
      <c r="R97" s="1007"/>
      <c r="S97" s="1605"/>
      <c r="T97" s="1009"/>
      <c r="U97" s="1616"/>
      <c r="V97" s="1009"/>
      <c r="W97" s="1008"/>
      <c r="X97" s="1019"/>
      <c r="Z97" s="46"/>
    </row>
    <row r="98" spans="2:26" outlineLevel="1">
      <c r="B98" s="1007" t="s">
        <v>5</v>
      </c>
      <c r="C98" s="1008" t="s">
        <v>209</v>
      </c>
      <c r="D98" s="1008" t="s">
        <v>211</v>
      </c>
      <c r="E98" s="1008" t="s">
        <v>0</v>
      </c>
      <c r="F98" s="1009">
        <f>'N_02 Vstupy'!$D$102*1.2</f>
        <v>594432</v>
      </c>
      <c r="G98" s="1009">
        <f>'N_02 Vstupy'!$F$102*1.2</f>
        <v>1188864</v>
      </c>
      <c r="H98" s="1009">
        <f>'N_02 Vstupy'!$H$102*1.2</f>
        <v>1188864</v>
      </c>
      <c r="I98" s="1009">
        <f>'N_02 Vstupy'!$J$102*1.2</f>
        <v>0</v>
      </c>
      <c r="J98" s="1009"/>
      <c r="K98" s="1009"/>
      <c r="L98" s="1009"/>
      <c r="M98" s="1009"/>
      <c r="N98" s="1009"/>
      <c r="O98" s="1009"/>
      <c r="P98" s="1010">
        <f t="shared" si="62"/>
        <v>2972160</v>
      </c>
      <c r="R98" s="1016">
        <f t="shared" ref="R98" si="92">SUM(F98:G98,H98/2)</f>
        <v>2377728</v>
      </c>
      <c r="S98" s="1605">
        <f t="shared" ref="S98" si="93">R98/P98</f>
        <v>0.8</v>
      </c>
      <c r="T98" s="1009">
        <f t="shared" ref="T98" si="94">SUM(H98/2,I98:O98)</f>
        <v>594432</v>
      </c>
      <c r="U98" s="1616">
        <f t="shared" ref="U98" si="95">T98/P98</f>
        <v>0.2</v>
      </c>
      <c r="V98" s="1009"/>
      <c r="W98" s="1008"/>
      <c r="X98" s="1019"/>
      <c r="Z98" s="46">
        <f t="shared" si="70"/>
        <v>0</v>
      </c>
    </row>
    <row r="99" spans="2:26" outlineLevel="1">
      <c r="B99" s="1002"/>
      <c r="C99" s="1003" t="s">
        <v>1373</v>
      </c>
      <c r="D99" s="1004"/>
      <c r="E99" s="1004"/>
      <c r="F99" s="1005">
        <f>SUM(F100)</f>
        <v>0</v>
      </c>
      <c r="G99" s="1005">
        <f t="shared" ref="G99:O99" si="96">SUM(G100)</f>
        <v>478884</v>
      </c>
      <c r="H99" s="1005">
        <f t="shared" si="96"/>
        <v>1915536</v>
      </c>
      <c r="I99" s="1005">
        <f t="shared" si="96"/>
        <v>60000</v>
      </c>
      <c r="J99" s="1005">
        <f t="shared" si="96"/>
        <v>60000</v>
      </c>
      <c r="K99" s="1005">
        <f t="shared" si="96"/>
        <v>0</v>
      </c>
      <c r="L99" s="1005">
        <f t="shared" si="96"/>
        <v>0</v>
      </c>
      <c r="M99" s="1005">
        <f t="shared" si="96"/>
        <v>0</v>
      </c>
      <c r="N99" s="1005">
        <f t="shared" si="96"/>
        <v>0</v>
      </c>
      <c r="O99" s="1005">
        <f t="shared" si="96"/>
        <v>0</v>
      </c>
      <c r="P99" s="1010">
        <f t="shared" si="62"/>
        <v>2514420</v>
      </c>
      <c r="R99" s="1007"/>
      <c r="S99" s="1605"/>
      <c r="T99" s="1009"/>
      <c r="U99" s="1616"/>
      <c r="V99" s="1009"/>
      <c r="W99" s="1008"/>
      <c r="X99" s="1019"/>
      <c r="Z99" s="46"/>
    </row>
    <row r="100" spans="2:26" ht="12.75" outlineLevel="1" thickBot="1">
      <c r="B100" s="1013" t="s">
        <v>5</v>
      </c>
      <c r="C100" s="1014" t="s">
        <v>1431</v>
      </c>
      <c r="D100" s="1014" t="s">
        <v>1431</v>
      </c>
      <c r="E100" s="1014" t="s">
        <v>0</v>
      </c>
      <c r="F100" s="1015"/>
      <c r="G100" s="1015">
        <f>'N_02 Vstupy'!$C$113*1.2</f>
        <v>478884</v>
      </c>
      <c r="H100" s="1015">
        <f>'N_02 Vstupy'!$D$113*1.2</f>
        <v>1915536</v>
      </c>
      <c r="I100" s="1015">
        <f>'N_02 Vstupy'!$E$113*1.2</f>
        <v>60000</v>
      </c>
      <c r="J100" s="1015">
        <f>'N_02 Vstupy'!$F$113*1.2</f>
        <v>60000</v>
      </c>
      <c r="K100" s="1015"/>
      <c r="L100" s="1015"/>
      <c r="M100" s="1015"/>
      <c r="N100" s="1015"/>
      <c r="O100" s="1015"/>
      <c r="P100" s="1026">
        <f t="shared" si="62"/>
        <v>2514420</v>
      </c>
      <c r="R100" s="1020">
        <f t="shared" ref="R100" si="97">SUM(F100:G100,H100/2)</f>
        <v>1436652</v>
      </c>
      <c r="S100" s="1608">
        <f t="shared" ref="S100" si="98">R100/P100</f>
        <v>0.57136516572410334</v>
      </c>
      <c r="T100" s="1015">
        <f t="shared" ref="T100" si="99">SUM(H100/2,I100:O100)</f>
        <v>1077768</v>
      </c>
      <c r="U100" s="1619">
        <f t="shared" ref="U100" si="100">T100/P100</f>
        <v>0.4286348342758966</v>
      </c>
      <c r="V100" s="1015"/>
      <c r="W100" s="1014"/>
      <c r="X100" s="1021"/>
      <c r="Z100" s="46">
        <f t="shared" si="70"/>
        <v>0</v>
      </c>
    </row>
    <row r="101" spans="2:26" outlineLevel="1">
      <c r="P101" s="953"/>
      <c r="R101" s="46"/>
      <c r="T101" s="46"/>
      <c r="V101" s="46"/>
    </row>
    <row r="102" spans="2:26" outlineLevel="1">
      <c r="P102" s="953"/>
      <c r="R102" s="46"/>
      <c r="T102" s="46"/>
      <c r="V102" s="46"/>
    </row>
    <row r="103" spans="2:26" outlineLevel="1">
      <c r="P103" s="953"/>
      <c r="R103" s="46"/>
      <c r="T103" s="46"/>
      <c r="V103" s="46"/>
    </row>
    <row r="104" spans="2:26" outlineLevel="1">
      <c r="P104" s="953"/>
      <c r="R104" s="46"/>
      <c r="T104" s="46"/>
      <c r="V104" s="46"/>
    </row>
    <row r="105" spans="2:26" outlineLevel="1">
      <c r="P105" s="953"/>
      <c r="R105" s="46"/>
      <c r="T105" s="46"/>
      <c r="V105" s="46"/>
    </row>
    <row r="106" spans="2:26" outlineLevel="1">
      <c r="P106" s="953"/>
      <c r="R106" s="46"/>
      <c r="T106" s="46"/>
      <c r="V106" s="46"/>
    </row>
    <row r="107" spans="2:26" outlineLevel="1">
      <c r="P107" s="953"/>
      <c r="R107" s="46"/>
      <c r="T107" s="46"/>
      <c r="V107" s="46"/>
    </row>
    <row r="108" spans="2:26" outlineLevel="1">
      <c r="P108" s="953"/>
      <c r="R108" s="46"/>
      <c r="T108" s="46"/>
      <c r="V108" s="46"/>
    </row>
    <row r="109" spans="2:26" outlineLevel="1">
      <c r="P109" s="953"/>
      <c r="R109" s="46"/>
      <c r="T109" s="46"/>
      <c r="V109" s="46"/>
    </row>
    <row r="110" spans="2:26" outlineLevel="1">
      <c r="P110" s="953"/>
      <c r="R110" s="46"/>
      <c r="T110" s="46"/>
      <c r="V110" s="46"/>
    </row>
    <row r="111" spans="2:26" outlineLevel="1">
      <c r="P111" s="953"/>
      <c r="R111" s="46"/>
      <c r="T111" s="46"/>
      <c r="V111" s="46"/>
    </row>
    <row r="112" spans="2:26" outlineLevel="1">
      <c r="P112" s="953"/>
      <c r="R112" s="46"/>
      <c r="T112" s="46"/>
      <c r="V112" s="46"/>
    </row>
    <row r="113" spans="2:24" outlineLevel="1">
      <c r="P113" s="953"/>
      <c r="R113" s="46"/>
      <c r="T113" s="46"/>
      <c r="V113" s="46"/>
    </row>
    <row r="114" spans="2:24" outlineLevel="1">
      <c r="P114" s="953"/>
      <c r="R114" s="46"/>
      <c r="T114" s="46"/>
      <c r="V114" s="46"/>
    </row>
    <row r="115" spans="2:24" outlineLevel="1">
      <c r="P115" s="953"/>
      <c r="R115" s="46"/>
      <c r="T115" s="46"/>
      <c r="V115" s="46"/>
    </row>
    <row r="116" spans="2:24" outlineLevel="1">
      <c r="P116" s="953"/>
      <c r="R116" s="46"/>
      <c r="T116" s="46"/>
      <c r="V116" s="46"/>
    </row>
    <row r="117" spans="2:24" outlineLevel="1">
      <c r="P117" s="953"/>
      <c r="R117" s="46"/>
      <c r="T117" s="46"/>
      <c r="V117" s="46"/>
    </row>
    <row r="118" spans="2:24" outlineLevel="1">
      <c r="P118" s="953"/>
      <c r="R118" s="46"/>
      <c r="T118" s="46"/>
      <c r="V118" s="46"/>
    </row>
    <row r="119" spans="2:24" outlineLevel="1">
      <c r="P119" s="953"/>
      <c r="R119" s="46"/>
      <c r="T119" s="46"/>
      <c r="V119" s="46"/>
    </row>
    <row r="120" spans="2:24" outlineLevel="1">
      <c r="P120" s="953"/>
      <c r="R120" s="46"/>
      <c r="T120" s="46"/>
      <c r="V120" s="46"/>
    </row>
    <row r="121" spans="2:24" outlineLevel="1">
      <c r="P121" s="953"/>
      <c r="R121" s="46"/>
      <c r="T121" s="46"/>
      <c r="V121" s="46"/>
    </row>
    <row r="122" spans="2:24" outlineLevel="1">
      <c r="P122" s="953"/>
      <c r="R122" s="46"/>
      <c r="T122" s="46"/>
      <c r="V122" s="46"/>
    </row>
    <row r="123" spans="2:24" s="992" customFormat="1" outlineLevel="1">
      <c r="F123" s="993"/>
      <c r="G123" s="993"/>
      <c r="H123" s="993"/>
      <c r="I123" s="993"/>
      <c r="J123" s="993"/>
      <c r="K123" s="993"/>
      <c r="L123" s="993"/>
      <c r="M123" s="993"/>
      <c r="N123" s="993"/>
      <c r="O123" s="993"/>
      <c r="P123" s="994"/>
      <c r="R123" s="993"/>
      <c r="S123" s="1609"/>
      <c r="T123" s="993"/>
      <c r="U123" s="1609"/>
      <c r="V123" s="993"/>
    </row>
    <row r="125" spans="2:24">
      <c r="B125" s="135"/>
      <c r="C125" s="134" t="s">
        <v>681</v>
      </c>
      <c r="D125" s="135"/>
      <c r="E125" s="135"/>
      <c r="F125" s="149" t="e">
        <f t="shared" ref="F125:O125" si="101">SUM(F164,F162,F152,F144,F140,F136,F132,F126)</f>
        <v>#REF!</v>
      </c>
      <c r="G125" s="149" t="e">
        <f t="shared" si="101"/>
        <v>#REF!</v>
      </c>
      <c r="H125" s="149">
        <f t="shared" si="101"/>
        <v>2144554.9500000002</v>
      </c>
      <c r="I125" s="149">
        <f t="shared" si="101"/>
        <v>670527</v>
      </c>
      <c r="J125" s="149">
        <f t="shared" si="101"/>
        <v>670527</v>
      </c>
      <c r="K125" s="149">
        <f t="shared" si="101"/>
        <v>624351</v>
      </c>
      <c r="L125" s="149">
        <f t="shared" si="101"/>
        <v>624351</v>
      </c>
      <c r="M125" s="149">
        <f t="shared" si="101"/>
        <v>624351</v>
      </c>
      <c r="N125" s="149">
        <f t="shared" si="101"/>
        <v>624351</v>
      </c>
      <c r="O125" s="149">
        <f t="shared" si="101"/>
        <v>624351</v>
      </c>
      <c r="P125" s="150" t="e">
        <f t="shared" ref="P125:P167" si="102">SUM(F125:O125)</f>
        <v>#REF!</v>
      </c>
      <c r="R125" s="194"/>
      <c r="S125" s="1610"/>
      <c r="T125" s="195"/>
      <c r="U125" s="1620"/>
      <c r="V125" s="195"/>
      <c r="W125" s="195"/>
      <c r="X125" s="196"/>
    </row>
    <row r="126" spans="2:24" customFormat="1" ht="15" outlineLevel="1">
      <c r="B126" s="138"/>
      <c r="C126" s="136" t="s">
        <v>205</v>
      </c>
      <c r="D126" s="137"/>
      <c r="E126" s="138"/>
      <c r="F126" s="139">
        <f>SUM(F127:F131)</f>
        <v>300165.45</v>
      </c>
      <c r="G126" s="139" t="e">
        <f t="shared" ref="G126:O126" si="103">SUM(G127:G131)</f>
        <v>#REF!</v>
      </c>
      <c r="H126" s="139">
        <f t="shared" si="103"/>
        <v>377131.95</v>
      </c>
      <c r="I126" s="139">
        <f t="shared" si="103"/>
        <v>0</v>
      </c>
      <c r="J126" s="139">
        <f t="shared" si="103"/>
        <v>0</v>
      </c>
      <c r="K126" s="139">
        <f t="shared" si="103"/>
        <v>0</v>
      </c>
      <c r="L126" s="139">
        <f t="shared" si="103"/>
        <v>0</v>
      </c>
      <c r="M126" s="139">
        <f t="shared" si="103"/>
        <v>0</v>
      </c>
      <c r="N126" s="139">
        <f t="shared" si="103"/>
        <v>0</v>
      </c>
      <c r="O126" s="139">
        <f t="shared" si="103"/>
        <v>0</v>
      </c>
      <c r="P126" s="140" t="e">
        <f t="shared" si="102"/>
        <v>#REF!</v>
      </c>
      <c r="R126" s="191"/>
      <c r="S126" s="1611"/>
      <c r="T126" s="192"/>
      <c r="U126" s="1621"/>
      <c r="V126" s="192"/>
      <c r="W126" s="192"/>
      <c r="X126" s="193"/>
    </row>
    <row r="127" spans="2:24" outlineLevel="1">
      <c r="B127" s="128" t="s">
        <v>7</v>
      </c>
      <c r="C127" s="126" t="s">
        <v>205</v>
      </c>
      <c r="D127" s="128" t="s">
        <v>198</v>
      </c>
      <c r="E127" s="128" t="s">
        <v>0</v>
      </c>
      <c r="F127" s="141"/>
      <c r="G127" s="141"/>
      <c r="H127" s="141"/>
      <c r="I127" s="141"/>
      <c r="J127" s="141"/>
      <c r="K127" s="141"/>
      <c r="L127" s="141"/>
      <c r="M127" s="141"/>
      <c r="N127" s="141"/>
      <c r="O127" s="141"/>
      <c r="P127" s="151">
        <f t="shared" si="102"/>
        <v>0</v>
      </c>
      <c r="R127" s="190">
        <f>SUM(F127:H127)</f>
        <v>0</v>
      </c>
      <c r="S127" s="1612"/>
      <c r="T127" s="142">
        <f>SUM(I127:O127)-W127-X127</f>
        <v>0</v>
      </c>
      <c r="U127" s="725"/>
      <c r="V127" s="142"/>
      <c r="W127" s="128"/>
      <c r="X127" s="154"/>
    </row>
    <row r="128" spans="2:24" outlineLevel="1">
      <c r="B128" s="128" t="s">
        <v>7</v>
      </c>
      <c r="C128" s="126" t="s">
        <v>205</v>
      </c>
      <c r="D128" s="128" t="s">
        <v>199</v>
      </c>
      <c r="E128" s="128" t="s">
        <v>0</v>
      </c>
      <c r="F128" s="141"/>
      <c r="G128" s="141"/>
      <c r="H128" s="141"/>
      <c r="I128" s="141"/>
      <c r="J128" s="141"/>
      <c r="K128" s="141"/>
      <c r="L128" s="141"/>
      <c r="M128" s="141"/>
      <c r="N128" s="141"/>
      <c r="O128" s="141"/>
      <c r="P128" s="151">
        <f t="shared" si="102"/>
        <v>0</v>
      </c>
      <c r="R128" s="190">
        <f>SUM(F128:H128)</f>
        <v>0</v>
      </c>
      <c r="S128" s="1612"/>
      <c r="T128" s="142">
        <f>SUM(I128:O128)-W128-X128</f>
        <v>0</v>
      </c>
      <c r="U128" s="725"/>
      <c r="V128" s="142"/>
      <c r="W128" s="128"/>
      <c r="X128" s="154"/>
    </row>
    <row r="129" spans="2:24" outlineLevel="1">
      <c r="B129" s="128" t="s">
        <v>7</v>
      </c>
      <c r="C129" s="126" t="s">
        <v>205</v>
      </c>
      <c r="D129" s="128" t="s">
        <v>3</v>
      </c>
      <c r="E129" s="128" t="s">
        <v>0</v>
      </c>
      <c r="F129" s="141"/>
      <c r="G129" s="141" t="e">
        <f>'N_03 Prieskum BO'!#REF!</f>
        <v>#REF!</v>
      </c>
      <c r="H129" s="141"/>
      <c r="I129" s="141"/>
      <c r="J129" s="141"/>
      <c r="K129" s="141"/>
      <c r="L129" s="141"/>
      <c r="M129" s="141"/>
      <c r="N129" s="141"/>
      <c r="O129" s="141"/>
      <c r="P129" s="151" t="e">
        <f t="shared" si="102"/>
        <v>#REF!</v>
      </c>
      <c r="R129" s="190" t="e">
        <f>SUM(F129:H129)</f>
        <v>#REF!</v>
      </c>
      <c r="S129" s="1612"/>
      <c r="T129" s="142">
        <f>SUM(I129:O129)-W129-X129</f>
        <v>0</v>
      </c>
      <c r="U129" s="725"/>
      <c r="V129" s="142"/>
      <c r="W129" s="128"/>
      <c r="X129" s="154"/>
    </row>
    <row r="130" spans="2:24" outlineLevel="1">
      <c r="B130" s="128" t="s">
        <v>7</v>
      </c>
      <c r="C130" s="126" t="s">
        <v>205</v>
      </c>
      <c r="D130" s="128" t="s">
        <v>256</v>
      </c>
      <c r="E130" s="128" t="s">
        <v>0</v>
      </c>
      <c r="F130" s="141"/>
      <c r="G130" s="141"/>
      <c r="H130" s="141"/>
      <c r="I130" s="141"/>
      <c r="J130" s="141"/>
      <c r="K130" s="141"/>
      <c r="L130" s="141"/>
      <c r="M130" s="141"/>
      <c r="N130" s="141"/>
      <c r="O130" s="141"/>
      <c r="P130" s="151">
        <f t="shared" si="102"/>
        <v>0</v>
      </c>
      <c r="R130" s="190">
        <f>SUM(F130:H130)</f>
        <v>0</v>
      </c>
      <c r="S130" s="1612"/>
      <c r="T130" s="142">
        <f>SUM(I130:O130)-W130-X130</f>
        <v>0</v>
      </c>
      <c r="U130" s="725"/>
      <c r="V130" s="142"/>
      <c r="W130" s="128"/>
      <c r="X130" s="154"/>
    </row>
    <row r="131" spans="2:24" outlineLevel="1">
      <c r="B131" s="128" t="s">
        <v>5</v>
      </c>
      <c r="C131" s="126" t="s">
        <v>205</v>
      </c>
      <c r="D131" s="128" t="s">
        <v>404</v>
      </c>
      <c r="E131" s="128" t="s">
        <v>0</v>
      </c>
      <c r="F131" s="142">
        <f>'N_02 Vstupy'!$C$58</f>
        <v>300165.45</v>
      </c>
      <c r="G131" s="142">
        <f>'N_02 Vstupy'!$D$58</f>
        <v>731173.95</v>
      </c>
      <c r="H131" s="142">
        <f>'N_02 Vstupy'!$E$58</f>
        <v>377131.95</v>
      </c>
      <c r="I131" s="142">
        <f>'N_02 Vstupy'!$F$58</f>
        <v>0</v>
      </c>
      <c r="J131" s="142">
        <f>'N_02 Vstupy'!$G$58</f>
        <v>0</v>
      </c>
      <c r="K131" s="142">
        <f>'N_02 Vstupy'!$H$58</f>
        <v>0</v>
      </c>
      <c r="L131" s="142">
        <f>'N_02 Vstupy'!$I$58</f>
        <v>0</v>
      </c>
      <c r="M131" s="142">
        <f>'N_02 Vstupy'!$J$58</f>
        <v>0</v>
      </c>
      <c r="N131" s="142">
        <f>'N_02 Vstupy'!$K$58</f>
        <v>0</v>
      </c>
      <c r="O131" s="142">
        <f>'N_02 Vstupy'!$L$58</f>
        <v>0</v>
      </c>
      <c r="P131" s="151">
        <f t="shared" si="102"/>
        <v>1408471.3499999999</v>
      </c>
      <c r="R131" s="190">
        <f>SUM(F131:H131)</f>
        <v>1408471.3499999999</v>
      </c>
      <c r="S131" s="1612"/>
      <c r="T131" s="142">
        <f>SUM(I131:O131)-W131-X131</f>
        <v>0</v>
      </c>
      <c r="U131" s="725"/>
      <c r="V131" s="142"/>
      <c r="W131" s="128"/>
      <c r="X131" s="154"/>
    </row>
    <row r="132" spans="2:24" outlineLevel="1" collapsed="1">
      <c r="B132" s="138"/>
      <c r="C132" s="136" t="s">
        <v>197</v>
      </c>
      <c r="D132" s="137"/>
      <c r="E132" s="138" t="s">
        <v>0</v>
      </c>
      <c r="F132" s="139">
        <f t="shared" ref="F132:O132" si="104">SUM(F133:F135)</f>
        <v>0</v>
      </c>
      <c r="G132" s="139">
        <f t="shared" si="104"/>
        <v>0</v>
      </c>
      <c r="H132" s="139">
        <f t="shared" si="104"/>
        <v>0</v>
      </c>
      <c r="I132" s="139">
        <f t="shared" si="104"/>
        <v>0</v>
      </c>
      <c r="J132" s="139">
        <f t="shared" si="104"/>
        <v>0</v>
      </c>
      <c r="K132" s="139">
        <f t="shared" si="104"/>
        <v>0</v>
      </c>
      <c r="L132" s="139">
        <f t="shared" si="104"/>
        <v>0</v>
      </c>
      <c r="M132" s="139">
        <f t="shared" si="104"/>
        <v>0</v>
      </c>
      <c r="N132" s="139">
        <f t="shared" si="104"/>
        <v>0</v>
      </c>
      <c r="O132" s="139">
        <f t="shared" si="104"/>
        <v>0</v>
      </c>
      <c r="P132" s="140">
        <f t="shared" si="102"/>
        <v>0</v>
      </c>
      <c r="R132" s="126"/>
      <c r="S132" s="1612"/>
      <c r="T132" s="128"/>
      <c r="U132" s="725"/>
      <c r="V132" s="128"/>
      <c r="W132" s="128"/>
      <c r="X132" s="154"/>
    </row>
    <row r="133" spans="2:24" outlineLevel="1">
      <c r="B133" s="128" t="s">
        <v>7</v>
      </c>
      <c r="C133" s="126" t="s">
        <v>200</v>
      </c>
      <c r="D133" s="128" t="s">
        <v>198</v>
      </c>
      <c r="E133" s="128" t="s">
        <v>0</v>
      </c>
      <c r="F133" s="141"/>
      <c r="G133" s="141"/>
      <c r="H133" s="141"/>
      <c r="I133" s="141"/>
      <c r="J133" s="141"/>
      <c r="K133" s="141"/>
      <c r="L133" s="141"/>
      <c r="M133" s="141"/>
      <c r="N133" s="141"/>
      <c r="O133" s="141"/>
      <c r="P133" s="151">
        <f t="shared" si="102"/>
        <v>0</v>
      </c>
      <c r="R133" s="190">
        <f>SUM(F133:H133)</f>
        <v>0</v>
      </c>
      <c r="S133" s="1612"/>
      <c r="T133" s="142">
        <f>SUM(I133:O133)-W133-X133</f>
        <v>0</v>
      </c>
      <c r="U133" s="725"/>
      <c r="V133" s="142"/>
      <c r="W133" s="128"/>
      <c r="X133" s="154"/>
    </row>
    <row r="134" spans="2:24" outlineLevel="1">
      <c r="B134" s="128" t="s">
        <v>7</v>
      </c>
      <c r="C134" s="126" t="s">
        <v>200</v>
      </c>
      <c r="D134" s="128" t="s">
        <v>199</v>
      </c>
      <c r="E134" s="128" t="s">
        <v>0</v>
      </c>
      <c r="F134" s="141"/>
      <c r="G134" s="141"/>
      <c r="H134" s="141"/>
      <c r="I134" s="141"/>
      <c r="J134" s="141"/>
      <c r="K134" s="141"/>
      <c r="L134" s="141"/>
      <c r="M134" s="141"/>
      <c r="N134" s="141"/>
      <c r="O134" s="141"/>
      <c r="P134" s="151">
        <f t="shared" si="102"/>
        <v>0</v>
      </c>
      <c r="R134" s="190">
        <f>SUM(F134:H134)</f>
        <v>0</v>
      </c>
      <c r="S134" s="1612"/>
      <c r="T134" s="142">
        <f>SUM(I134:O134)-W134-X134</f>
        <v>0</v>
      </c>
      <c r="U134" s="725"/>
      <c r="V134" s="142"/>
      <c r="W134" s="128"/>
      <c r="X134" s="154"/>
    </row>
    <row r="135" spans="2:24" outlineLevel="1">
      <c r="B135" s="128" t="s">
        <v>7</v>
      </c>
      <c r="C135" s="126" t="s">
        <v>200</v>
      </c>
      <c r="D135" s="128" t="s">
        <v>3</v>
      </c>
      <c r="E135" s="128" t="s">
        <v>0</v>
      </c>
      <c r="F135" s="141"/>
      <c r="G135" s="141"/>
      <c r="H135" s="141"/>
      <c r="I135" s="141"/>
      <c r="J135" s="141"/>
      <c r="K135" s="141"/>
      <c r="L135" s="141"/>
      <c r="M135" s="141"/>
      <c r="N135" s="141"/>
      <c r="O135" s="141"/>
      <c r="P135" s="151">
        <f t="shared" si="102"/>
        <v>0</v>
      </c>
      <c r="R135" s="190">
        <f>SUM(F135:H135)</f>
        <v>0</v>
      </c>
      <c r="S135" s="1612"/>
      <c r="T135" s="142">
        <f>SUM(I135:O135)-W135-X135</f>
        <v>0</v>
      </c>
      <c r="U135" s="725"/>
      <c r="V135" s="142"/>
      <c r="W135" s="128"/>
      <c r="X135" s="154"/>
    </row>
    <row r="136" spans="2:24" outlineLevel="1" collapsed="1">
      <c r="B136" s="138"/>
      <c r="C136" s="136" t="s">
        <v>204</v>
      </c>
      <c r="D136" s="137"/>
      <c r="E136" s="138" t="s">
        <v>0</v>
      </c>
      <c r="F136" s="139">
        <f t="shared" ref="F136:O136" si="105">SUM(F137:F139)</f>
        <v>0</v>
      </c>
      <c r="G136" s="139">
        <f t="shared" si="105"/>
        <v>0</v>
      </c>
      <c r="H136" s="139">
        <f t="shared" si="105"/>
        <v>0</v>
      </c>
      <c r="I136" s="139">
        <f t="shared" si="105"/>
        <v>0</v>
      </c>
      <c r="J136" s="139">
        <f t="shared" si="105"/>
        <v>0</v>
      </c>
      <c r="K136" s="139">
        <f t="shared" si="105"/>
        <v>0</v>
      </c>
      <c r="L136" s="139">
        <f t="shared" si="105"/>
        <v>0</v>
      </c>
      <c r="M136" s="139">
        <f t="shared" si="105"/>
        <v>0</v>
      </c>
      <c r="N136" s="139">
        <f t="shared" si="105"/>
        <v>0</v>
      </c>
      <c r="O136" s="139">
        <f t="shared" si="105"/>
        <v>0</v>
      </c>
      <c r="P136" s="140">
        <f t="shared" si="102"/>
        <v>0</v>
      </c>
      <c r="R136" s="126"/>
      <c r="S136" s="1612"/>
      <c r="T136" s="128"/>
      <c r="U136" s="725"/>
      <c r="V136" s="128"/>
      <c r="W136" s="128"/>
      <c r="X136" s="154"/>
    </row>
    <row r="137" spans="2:24" outlineLevel="1">
      <c r="B137" s="128" t="s">
        <v>7</v>
      </c>
      <c r="C137" s="126" t="s">
        <v>257</v>
      </c>
      <c r="D137" s="128" t="s">
        <v>198</v>
      </c>
      <c r="E137" s="128" t="s">
        <v>0</v>
      </c>
      <c r="F137" s="141"/>
      <c r="G137" s="141"/>
      <c r="H137" s="141"/>
      <c r="I137" s="141"/>
      <c r="J137" s="141"/>
      <c r="K137" s="141"/>
      <c r="L137" s="141"/>
      <c r="M137" s="141"/>
      <c r="N137" s="141"/>
      <c r="O137" s="141"/>
      <c r="P137" s="151">
        <f t="shared" si="102"/>
        <v>0</v>
      </c>
      <c r="R137" s="190">
        <f>SUM(F137:H137)</f>
        <v>0</v>
      </c>
      <c r="S137" s="1612"/>
      <c r="T137" s="142">
        <f>SUM(I137:O137)-W137-X137</f>
        <v>0</v>
      </c>
      <c r="U137" s="725"/>
      <c r="V137" s="142"/>
      <c r="W137" s="128"/>
      <c r="X137" s="154"/>
    </row>
    <row r="138" spans="2:24" outlineLevel="1">
      <c r="B138" s="128" t="s">
        <v>7</v>
      </c>
      <c r="C138" s="126" t="s">
        <v>257</v>
      </c>
      <c r="D138" s="128" t="s">
        <v>199</v>
      </c>
      <c r="E138" s="128" t="s">
        <v>0</v>
      </c>
      <c r="F138" s="141"/>
      <c r="G138" s="141"/>
      <c r="H138" s="141"/>
      <c r="I138" s="141"/>
      <c r="J138" s="141"/>
      <c r="K138" s="141"/>
      <c r="L138" s="141"/>
      <c r="M138" s="141"/>
      <c r="N138" s="141"/>
      <c r="O138" s="141"/>
      <c r="P138" s="151">
        <f t="shared" si="102"/>
        <v>0</v>
      </c>
      <c r="R138" s="190">
        <f>SUM(F138:H138)</f>
        <v>0</v>
      </c>
      <c r="S138" s="1612"/>
      <c r="T138" s="142">
        <f>SUM(I138:O138)-W138-X138</f>
        <v>0</v>
      </c>
      <c r="U138" s="725"/>
      <c r="V138" s="142"/>
      <c r="W138" s="128"/>
      <c r="X138" s="154"/>
    </row>
    <row r="139" spans="2:24" outlineLevel="1">
      <c r="B139" s="128" t="s">
        <v>7</v>
      </c>
      <c r="C139" s="126" t="s">
        <v>257</v>
      </c>
      <c r="D139" s="128" t="s">
        <v>3</v>
      </c>
      <c r="E139" s="128" t="s">
        <v>0</v>
      </c>
      <c r="F139" s="141"/>
      <c r="G139" s="141"/>
      <c r="H139" s="141"/>
      <c r="I139" s="141"/>
      <c r="J139" s="141"/>
      <c r="K139" s="141"/>
      <c r="L139" s="141"/>
      <c r="M139" s="141"/>
      <c r="N139" s="141"/>
      <c r="O139" s="141"/>
      <c r="P139" s="151">
        <f t="shared" si="102"/>
        <v>0</v>
      </c>
      <c r="R139" s="190">
        <f>SUM(F139:H139)</f>
        <v>0</v>
      </c>
      <c r="S139" s="1612"/>
      <c r="T139" s="142">
        <f>SUM(I139:O139)-W139-X139</f>
        <v>0</v>
      </c>
      <c r="U139" s="725"/>
      <c r="V139" s="142"/>
      <c r="W139" s="128"/>
      <c r="X139" s="154"/>
    </row>
    <row r="140" spans="2:24" outlineLevel="1" collapsed="1">
      <c r="B140" s="138"/>
      <c r="C140" s="136" t="s">
        <v>206</v>
      </c>
      <c r="D140" s="138"/>
      <c r="E140" s="138"/>
      <c r="F140" s="139">
        <f t="shared" ref="F140:O140" si="106">SUM(F141:F143)</f>
        <v>0</v>
      </c>
      <c r="G140" s="139">
        <f t="shared" si="106"/>
        <v>0</v>
      </c>
      <c r="H140" s="139">
        <f t="shared" si="106"/>
        <v>0</v>
      </c>
      <c r="I140" s="139">
        <f t="shared" si="106"/>
        <v>0</v>
      </c>
      <c r="J140" s="139">
        <f t="shared" si="106"/>
        <v>0</v>
      </c>
      <c r="K140" s="139">
        <f t="shared" si="106"/>
        <v>0</v>
      </c>
      <c r="L140" s="139">
        <f t="shared" si="106"/>
        <v>0</v>
      </c>
      <c r="M140" s="139">
        <f t="shared" si="106"/>
        <v>0</v>
      </c>
      <c r="N140" s="139">
        <f t="shared" si="106"/>
        <v>0</v>
      </c>
      <c r="O140" s="139">
        <f t="shared" si="106"/>
        <v>0</v>
      </c>
      <c r="P140" s="140">
        <f t="shared" si="102"/>
        <v>0</v>
      </c>
      <c r="R140" s="126"/>
      <c r="S140" s="1612"/>
      <c r="T140" s="128"/>
      <c r="U140" s="725"/>
      <c r="V140" s="128"/>
      <c r="W140" s="128"/>
      <c r="X140" s="154"/>
    </row>
    <row r="141" spans="2:24" outlineLevel="1">
      <c r="B141" s="128" t="s">
        <v>7</v>
      </c>
      <c r="C141" s="126" t="s">
        <v>206</v>
      </c>
      <c r="D141" s="128" t="s">
        <v>205</v>
      </c>
      <c r="E141" s="128" t="s">
        <v>0</v>
      </c>
      <c r="F141" s="141"/>
      <c r="G141" s="141"/>
      <c r="H141" s="141"/>
      <c r="I141" s="141"/>
      <c r="J141" s="141"/>
      <c r="K141" s="141"/>
      <c r="L141" s="141"/>
      <c r="M141" s="141"/>
      <c r="N141" s="141"/>
      <c r="O141" s="141"/>
      <c r="P141" s="151">
        <f t="shared" si="102"/>
        <v>0</v>
      </c>
      <c r="R141" s="190">
        <f>SUM(F141:H141)</f>
        <v>0</v>
      </c>
      <c r="S141" s="1612"/>
      <c r="T141" s="142">
        <f>SUM(I141:O141)-W141-X141</f>
        <v>0</v>
      </c>
      <c r="U141" s="725"/>
      <c r="V141" s="142"/>
      <c r="W141" s="128"/>
      <c r="X141" s="154"/>
    </row>
    <row r="142" spans="2:24" outlineLevel="1">
      <c r="B142" s="143" t="s">
        <v>7</v>
      </c>
      <c r="C142" s="126" t="s">
        <v>1</v>
      </c>
      <c r="D142" s="128" t="s">
        <v>358</v>
      </c>
      <c r="E142" s="143" t="s">
        <v>1</v>
      </c>
      <c r="F142" s="141"/>
      <c r="G142" s="141"/>
      <c r="H142" s="141"/>
      <c r="I142" s="141"/>
      <c r="J142" s="141"/>
      <c r="K142" s="141"/>
      <c r="L142" s="141"/>
      <c r="M142" s="141"/>
      <c r="N142" s="141"/>
      <c r="O142" s="141"/>
      <c r="P142" s="151">
        <f t="shared" si="102"/>
        <v>0</v>
      </c>
      <c r="R142" s="190">
        <f>SUM(F142:H142)</f>
        <v>0</v>
      </c>
      <c r="S142" s="1612"/>
      <c r="T142" s="142">
        <f>SUM(I142:O142)-W142-X142</f>
        <v>0</v>
      </c>
      <c r="U142" s="725"/>
      <c r="V142" s="142"/>
      <c r="W142" s="128"/>
      <c r="X142" s="154"/>
    </row>
    <row r="143" spans="2:24" outlineLevel="1">
      <c r="B143" s="143" t="s">
        <v>7</v>
      </c>
      <c r="C143" s="126" t="s">
        <v>207</v>
      </c>
      <c r="D143" s="128" t="s">
        <v>358</v>
      </c>
      <c r="E143" s="143" t="s">
        <v>359</v>
      </c>
      <c r="F143" s="141"/>
      <c r="G143" s="141"/>
      <c r="H143" s="141"/>
      <c r="I143" s="141"/>
      <c r="J143" s="141"/>
      <c r="K143" s="141"/>
      <c r="L143" s="141"/>
      <c r="M143" s="141"/>
      <c r="N143" s="141"/>
      <c r="O143" s="141"/>
      <c r="P143" s="151">
        <f t="shared" si="102"/>
        <v>0</v>
      </c>
      <c r="R143" s="190">
        <f>SUM(F143:H143)</f>
        <v>0</v>
      </c>
      <c r="S143" s="1612"/>
      <c r="T143" s="142">
        <f>SUM(I143:O143)-W143-X143</f>
        <v>0</v>
      </c>
      <c r="U143" s="725"/>
      <c r="V143" s="142"/>
      <c r="W143" s="128"/>
      <c r="X143" s="154"/>
    </row>
    <row r="144" spans="2:24" outlineLevel="1">
      <c r="B144" s="138"/>
      <c r="C144" s="136" t="s">
        <v>360</v>
      </c>
      <c r="D144" s="138"/>
      <c r="E144" s="138"/>
      <c r="F144" s="139" t="e">
        <f t="shared" ref="F144:O144" si="107">SUM(F145:F151)</f>
        <v>#REF!</v>
      </c>
      <c r="G144" s="139">
        <f t="shared" si="107"/>
        <v>0</v>
      </c>
      <c r="H144" s="139">
        <f t="shared" si="107"/>
        <v>0</v>
      </c>
      <c r="I144" s="139">
        <f t="shared" si="107"/>
        <v>0</v>
      </c>
      <c r="J144" s="139">
        <f t="shared" si="107"/>
        <v>0</v>
      </c>
      <c r="K144" s="139">
        <f t="shared" si="107"/>
        <v>0</v>
      </c>
      <c r="L144" s="139">
        <f t="shared" si="107"/>
        <v>0</v>
      </c>
      <c r="M144" s="139">
        <f t="shared" si="107"/>
        <v>0</v>
      </c>
      <c r="N144" s="139">
        <f t="shared" si="107"/>
        <v>0</v>
      </c>
      <c r="O144" s="139">
        <f t="shared" si="107"/>
        <v>0</v>
      </c>
      <c r="P144" s="140" t="e">
        <f t="shared" si="102"/>
        <v>#REF!</v>
      </c>
      <c r="R144" s="126"/>
      <c r="S144" s="1612"/>
      <c r="T144" s="128"/>
      <c r="U144" s="725"/>
      <c r="V144" s="128"/>
      <c r="W144" s="128"/>
      <c r="X144" s="154"/>
    </row>
    <row r="145" spans="2:24" outlineLevel="1">
      <c r="B145" s="128" t="s">
        <v>7</v>
      </c>
      <c r="C145" s="126" t="s">
        <v>208</v>
      </c>
      <c r="D145" s="128" t="s">
        <v>571</v>
      </c>
      <c r="E145" s="128" t="s">
        <v>0</v>
      </c>
      <c r="F145" s="142" t="e">
        <f>'N_02 Vstupy'!#REF!*1.2</f>
        <v>#REF!</v>
      </c>
      <c r="G145" s="142"/>
      <c r="H145" s="142"/>
      <c r="I145" s="142"/>
      <c r="J145" s="142"/>
      <c r="K145" s="142"/>
      <c r="L145" s="142"/>
      <c r="M145" s="142"/>
      <c r="N145" s="142"/>
      <c r="O145" s="142"/>
      <c r="P145" s="151" t="e">
        <f t="shared" si="102"/>
        <v>#REF!</v>
      </c>
      <c r="R145" s="190" t="e">
        <f>SUM(F145:H145)</f>
        <v>#REF!</v>
      </c>
      <c r="S145" s="1612"/>
      <c r="T145" s="142">
        <f>SUM(I145:O145)-W145-X145</f>
        <v>0</v>
      </c>
      <c r="U145" s="725"/>
      <c r="V145" s="142"/>
      <c r="W145" s="128"/>
      <c r="X145" s="154"/>
    </row>
    <row r="146" spans="2:24" outlineLevel="1">
      <c r="B146" s="128" t="s">
        <v>7</v>
      </c>
      <c r="C146" s="126" t="s">
        <v>208</v>
      </c>
      <c r="D146" s="128" t="s">
        <v>572</v>
      </c>
      <c r="E146" s="128" t="s">
        <v>0</v>
      </c>
      <c r="F146" s="142" t="e">
        <f>'N_02 Vstupy'!#REF!*1.2</f>
        <v>#REF!</v>
      </c>
      <c r="G146" s="142"/>
      <c r="H146" s="142"/>
      <c r="I146" s="142"/>
      <c r="J146" s="142"/>
      <c r="K146" s="142"/>
      <c r="L146" s="142"/>
      <c r="M146" s="142"/>
      <c r="N146" s="142"/>
      <c r="O146" s="142"/>
      <c r="P146" s="151" t="e">
        <f t="shared" si="102"/>
        <v>#REF!</v>
      </c>
      <c r="R146" s="190" t="e">
        <f>SUM(F146:H146)</f>
        <v>#REF!</v>
      </c>
      <c r="S146" s="1612"/>
      <c r="T146" s="142">
        <f>SUM(I146:O146)-W146-X146</f>
        <v>0</v>
      </c>
      <c r="U146" s="725"/>
      <c r="V146" s="142"/>
      <c r="W146" s="128"/>
      <c r="X146" s="154"/>
    </row>
    <row r="147" spans="2:24" outlineLevel="1">
      <c r="B147" s="128" t="s">
        <v>7</v>
      </c>
      <c r="C147" s="126" t="s">
        <v>208</v>
      </c>
      <c r="D147" s="128" t="s">
        <v>573</v>
      </c>
      <c r="E147" s="128" t="s">
        <v>0</v>
      </c>
      <c r="F147" s="142" t="e">
        <f>'N_02 Vstupy'!#REF!*1.2</f>
        <v>#REF!</v>
      </c>
      <c r="G147" s="142"/>
      <c r="H147" s="142"/>
      <c r="I147" s="142"/>
      <c r="J147" s="142"/>
      <c r="K147" s="142"/>
      <c r="L147" s="142"/>
      <c r="M147" s="142"/>
      <c r="N147" s="142"/>
      <c r="O147" s="142"/>
      <c r="P147" s="151"/>
      <c r="R147" s="190"/>
      <c r="S147" s="1612"/>
      <c r="T147" s="142"/>
      <c r="U147" s="725"/>
      <c r="V147" s="142"/>
      <c r="W147" s="128"/>
      <c r="X147" s="154"/>
    </row>
    <row r="148" spans="2:24" outlineLevel="1">
      <c r="B148" s="128" t="s">
        <v>7</v>
      </c>
      <c r="C148" s="126" t="s">
        <v>208</v>
      </c>
      <c r="D148" s="128" t="s">
        <v>574</v>
      </c>
      <c r="E148" s="128" t="s">
        <v>0</v>
      </c>
      <c r="F148" s="142" t="e">
        <f>'N_02 Vstupy'!#REF!*1.2</f>
        <v>#REF!</v>
      </c>
      <c r="G148" s="142"/>
      <c r="H148" s="142"/>
      <c r="I148" s="142"/>
      <c r="J148" s="142"/>
      <c r="K148" s="142"/>
      <c r="L148" s="142"/>
      <c r="M148" s="142"/>
      <c r="N148" s="142"/>
      <c r="O148" s="142"/>
      <c r="P148" s="151"/>
      <c r="R148" s="190"/>
      <c r="S148" s="1612"/>
      <c r="T148" s="142"/>
      <c r="U148" s="725"/>
      <c r="V148" s="142"/>
      <c r="W148" s="128"/>
      <c r="X148" s="154"/>
    </row>
    <row r="149" spans="2:24" outlineLevel="1">
      <c r="B149" s="128" t="s">
        <v>7</v>
      </c>
      <c r="C149" s="126" t="s">
        <v>208</v>
      </c>
      <c r="D149" s="128" t="s">
        <v>721</v>
      </c>
      <c r="E149" s="128" t="s">
        <v>0</v>
      </c>
      <c r="F149" s="142" t="e">
        <f>'N_02 Vstupy'!#REF!*1.2</f>
        <v>#REF!</v>
      </c>
      <c r="G149" s="142"/>
      <c r="H149" s="142"/>
      <c r="I149" s="142"/>
      <c r="J149" s="142"/>
      <c r="K149" s="142"/>
      <c r="L149" s="142"/>
      <c r="M149" s="142"/>
      <c r="N149" s="142"/>
      <c r="O149" s="142"/>
      <c r="P149" s="151"/>
      <c r="R149" s="190"/>
      <c r="S149" s="1612"/>
      <c r="T149" s="142"/>
      <c r="U149" s="725"/>
      <c r="V149" s="142"/>
      <c r="W149" s="128"/>
      <c r="X149" s="154"/>
    </row>
    <row r="150" spans="2:24" outlineLevel="1">
      <c r="B150" s="128" t="s">
        <v>7</v>
      </c>
      <c r="C150" s="126" t="s">
        <v>208</v>
      </c>
      <c r="D150" s="128" t="s">
        <v>913</v>
      </c>
      <c r="E150" s="128" t="s">
        <v>0</v>
      </c>
      <c r="F150" s="142" t="e">
        <f>'N_02 Vstupy'!#REF!*1.2</f>
        <v>#REF!</v>
      </c>
      <c r="G150" s="142"/>
      <c r="H150" s="142"/>
      <c r="I150" s="142"/>
      <c r="J150" s="142"/>
      <c r="K150" s="142"/>
      <c r="L150" s="142"/>
      <c r="M150" s="142"/>
      <c r="N150" s="142"/>
      <c r="O150" s="142"/>
      <c r="P150" s="151" t="e">
        <f t="shared" si="102"/>
        <v>#REF!</v>
      </c>
      <c r="R150" s="190" t="e">
        <f>SUM(F150:H150)</f>
        <v>#REF!</v>
      </c>
      <c r="S150" s="1612"/>
      <c r="T150" s="142">
        <f>SUM(I150:O150)-W150-X150</f>
        <v>0</v>
      </c>
      <c r="U150" s="725"/>
      <c r="V150" s="142"/>
      <c r="W150" s="128"/>
      <c r="X150" s="154"/>
    </row>
    <row r="151" spans="2:24" outlineLevel="1">
      <c r="B151" s="128" t="s">
        <v>7</v>
      </c>
      <c r="C151" s="126" t="s">
        <v>208</v>
      </c>
      <c r="D151" s="128" t="s">
        <v>914</v>
      </c>
      <c r="E151" s="128" t="s">
        <v>0</v>
      </c>
      <c r="F151" s="142" t="e">
        <f>'N_02 Vstupy'!#REF!*1.2</f>
        <v>#REF!</v>
      </c>
      <c r="G151" s="142"/>
      <c r="H151" s="142"/>
      <c r="I151" s="142"/>
      <c r="J151" s="142"/>
      <c r="K151" s="142"/>
      <c r="L151" s="142"/>
      <c r="M151" s="142"/>
      <c r="N151" s="142"/>
      <c r="O151" s="142"/>
      <c r="P151" s="151" t="e">
        <f t="shared" si="102"/>
        <v>#REF!</v>
      </c>
      <c r="R151" s="190" t="e">
        <f>SUM(F151:H151)</f>
        <v>#REF!</v>
      </c>
      <c r="S151" s="1612"/>
      <c r="T151" s="142">
        <f>SUM(I151:O151)-W151-X151</f>
        <v>0</v>
      </c>
      <c r="U151" s="725"/>
      <c r="V151" s="142"/>
      <c r="W151" s="128"/>
      <c r="X151" s="154"/>
    </row>
    <row r="152" spans="2:24" outlineLevel="1">
      <c r="B152" s="138"/>
      <c r="C152" s="136" t="s">
        <v>11</v>
      </c>
      <c r="D152" s="138"/>
      <c r="E152" s="138"/>
      <c r="F152" s="139">
        <f>SUM(F153:F161)</f>
        <v>0</v>
      </c>
      <c r="G152" s="139">
        <f t="shared" ref="G152:O152" si="108">SUM(G153:G161)</f>
        <v>0</v>
      </c>
      <c r="H152" s="139">
        <f t="shared" si="108"/>
        <v>578175</v>
      </c>
      <c r="I152" s="139">
        <f t="shared" si="108"/>
        <v>578175</v>
      </c>
      <c r="J152" s="139">
        <f t="shared" si="108"/>
        <v>578175</v>
      </c>
      <c r="K152" s="139">
        <f t="shared" si="108"/>
        <v>578175</v>
      </c>
      <c r="L152" s="139">
        <f t="shared" si="108"/>
        <v>578175</v>
      </c>
      <c r="M152" s="139">
        <f t="shared" si="108"/>
        <v>578175</v>
      </c>
      <c r="N152" s="139">
        <f t="shared" si="108"/>
        <v>578175</v>
      </c>
      <c r="O152" s="139">
        <f t="shared" si="108"/>
        <v>578175</v>
      </c>
      <c r="P152" s="140">
        <f t="shared" si="102"/>
        <v>4625400</v>
      </c>
      <c r="R152" s="190"/>
      <c r="S152" s="1612"/>
      <c r="T152" s="142"/>
      <c r="U152" s="725"/>
      <c r="V152" s="142"/>
      <c r="W152" s="128"/>
      <c r="X152" s="154"/>
    </row>
    <row r="153" spans="2:24" outlineLevel="1">
      <c r="B153" s="128" t="s">
        <v>5</v>
      </c>
      <c r="C153" s="126" t="s">
        <v>205</v>
      </c>
      <c r="D153" s="128" t="s">
        <v>258</v>
      </c>
      <c r="E153" s="128" t="s">
        <v>0</v>
      </c>
      <c r="F153" s="141"/>
      <c r="G153" s="141"/>
      <c r="H153" s="141"/>
      <c r="I153" s="141"/>
      <c r="J153" s="141"/>
      <c r="K153" s="141"/>
      <c r="L153" s="141"/>
      <c r="M153" s="141"/>
      <c r="N153" s="141"/>
      <c r="O153" s="141"/>
      <c r="P153" s="151">
        <f t="shared" si="102"/>
        <v>0</v>
      </c>
      <c r="R153" s="190">
        <f t="shared" ref="R153:R161" si="109">SUM(F153:H153)</f>
        <v>0</v>
      </c>
      <c r="S153" s="1612"/>
      <c r="T153" s="142">
        <f t="shared" ref="T153:T161" si="110">SUM(I153:O153)</f>
        <v>0</v>
      </c>
      <c r="U153" s="725"/>
      <c r="V153" s="142"/>
      <c r="W153" s="128"/>
      <c r="X153" s="154"/>
    </row>
    <row r="154" spans="2:24" outlineLevel="1">
      <c r="B154" s="128" t="s">
        <v>5</v>
      </c>
      <c r="C154" s="126" t="s">
        <v>205</v>
      </c>
      <c r="D154" s="128" t="s">
        <v>259</v>
      </c>
      <c r="E154" s="128" t="s">
        <v>0</v>
      </c>
      <c r="F154" s="141"/>
      <c r="G154" s="141"/>
      <c r="H154" s="141"/>
      <c r="I154" s="141"/>
      <c r="J154" s="141"/>
      <c r="K154" s="141"/>
      <c r="L154" s="141"/>
      <c r="M154" s="141"/>
      <c r="N154" s="141"/>
      <c r="O154" s="141"/>
      <c r="P154" s="151">
        <f t="shared" si="102"/>
        <v>0</v>
      </c>
      <c r="R154" s="190">
        <f t="shared" si="109"/>
        <v>0</v>
      </c>
      <c r="S154" s="1612"/>
      <c r="T154" s="142">
        <f t="shared" si="110"/>
        <v>0</v>
      </c>
      <c r="U154" s="725"/>
      <c r="V154" s="142"/>
      <c r="W154" s="128"/>
      <c r="X154" s="154"/>
    </row>
    <row r="155" spans="2:24" outlineLevel="1">
      <c r="B155" s="128" t="s">
        <v>5</v>
      </c>
      <c r="C155" s="126" t="s">
        <v>205</v>
      </c>
      <c r="D155" s="128" t="s">
        <v>10</v>
      </c>
      <c r="E155" s="128" t="s">
        <v>0</v>
      </c>
      <c r="F155" s="141"/>
      <c r="G155" s="141"/>
      <c r="H155" s="141"/>
      <c r="I155" s="141"/>
      <c r="J155" s="141"/>
      <c r="K155" s="141"/>
      <c r="L155" s="141"/>
      <c r="M155" s="141"/>
      <c r="N155" s="141"/>
      <c r="O155" s="141"/>
      <c r="P155" s="151">
        <f t="shared" si="102"/>
        <v>0</v>
      </c>
      <c r="R155" s="190">
        <f t="shared" si="109"/>
        <v>0</v>
      </c>
      <c r="S155" s="1612"/>
      <c r="T155" s="142">
        <f t="shared" si="110"/>
        <v>0</v>
      </c>
      <c r="U155" s="725"/>
      <c r="V155" s="142"/>
      <c r="W155" s="128"/>
      <c r="X155" s="154"/>
    </row>
    <row r="156" spans="2:24" outlineLevel="1">
      <c r="B156" s="128" t="s">
        <v>5</v>
      </c>
      <c r="C156" s="126" t="s">
        <v>197</v>
      </c>
      <c r="D156" s="128" t="s">
        <v>258</v>
      </c>
      <c r="E156" s="128" t="s">
        <v>0</v>
      </c>
      <c r="F156" s="141"/>
      <c r="G156" s="141"/>
      <c r="H156" s="141"/>
      <c r="I156" s="141"/>
      <c r="J156" s="141"/>
      <c r="K156" s="141"/>
      <c r="L156" s="141"/>
      <c r="M156" s="141"/>
      <c r="N156" s="141"/>
      <c r="O156" s="141"/>
      <c r="P156" s="151">
        <f t="shared" si="102"/>
        <v>0</v>
      </c>
      <c r="R156" s="190">
        <f t="shared" si="109"/>
        <v>0</v>
      </c>
      <c r="S156" s="1612"/>
      <c r="T156" s="142">
        <f t="shared" si="110"/>
        <v>0</v>
      </c>
      <c r="U156" s="725"/>
      <c r="V156" s="142"/>
      <c r="W156" s="128"/>
      <c r="X156" s="154"/>
    </row>
    <row r="157" spans="2:24" outlineLevel="1">
      <c r="B157" s="128" t="s">
        <v>5</v>
      </c>
      <c r="C157" s="126" t="s">
        <v>197</v>
      </c>
      <c r="D157" s="128" t="s">
        <v>259</v>
      </c>
      <c r="E157" s="128" t="s">
        <v>0</v>
      </c>
      <c r="F157" s="141"/>
      <c r="G157" s="141"/>
      <c r="H157" s="141"/>
      <c r="I157" s="141"/>
      <c r="J157" s="141"/>
      <c r="K157" s="141"/>
      <c r="L157" s="141"/>
      <c r="M157" s="141"/>
      <c r="N157" s="141"/>
      <c r="O157" s="141"/>
      <c r="P157" s="151">
        <f t="shared" si="102"/>
        <v>0</v>
      </c>
      <c r="R157" s="190">
        <f t="shared" si="109"/>
        <v>0</v>
      </c>
      <c r="S157" s="1612"/>
      <c r="T157" s="142">
        <f t="shared" si="110"/>
        <v>0</v>
      </c>
      <c r="U157" s="725"/>
      <c r="V157" s="142"/>
      <c r="W157" s="128"/>
      <c r="X157" s="154"/>
    </row>
    <row r="158" spans="2:24" outlineLevel="1">
      <c r="B158" s="128" t="s">
        <v>5</v>
      </c>
      <c r="C158" s="126" t="s">
        <v>8</v>
      </c>
      <c r="D158" s="128" t="s">
        <v>258</v>
      </c>
      <c r="E158" s="128" t="s">
        <v>0</v>
      </c>
      <c r="F158" s="141"/>
      <c r="G158" s="141"/>
      <c r="H158" s="141"/>
      <c r="I158" s="141"/>
      <c r="J158" s="141"/>
      <c r="K158" s="141"/>
      <c r="L158" s="141"/>
      <c r="M158" s="141"/>
      <c r="N158" s="141"/>
      <c r="O158" s="141"/>
      <c r="P158" s="151">
        <f t="shared" si="102"/>
        <v>0</v>
      </c>
      <c r="R158" s="190">
        <f t="shared" si="109"/>
        <v>0</v>
      </c>
      <c r="S158" s="1612"/>
      <c r="T158" s="142">
        <f t="shared" si="110"/>
        <v>0</v>
      </c>
      <c r="U158" s="725"/>
      <c r="V158" s="142"/>
      <c r="W158" s="128"/>
      <c r="X158" s="154"/>
    </row>
    <row r="159" spans="2:24" outlineLevel="1">
      <c r="B159" s="128" t="s">
        <v>5</v>
      </c>
      <c r="C159" s="126" t="s">
        <v>8</v>
      </c>
      <c r="D159" s="128" t="s">
        <v>259</v>
      </c>
      <c r="E159" s="128" t="s">
        <v>0</v>
      </c>
      <c r="F159" s="141"/>
      <c r="G159" s="141"/>
      <c r="H159" s="141"/>
      <c r="I159" s="141"/>
      <c r="J159" s="141"/>
      <c r="K159" s="141"/>
      <c r="L159" s="141"/>
      <c r="M159" s="141"/>
      <c r="N159" s="141"/>
      <c r="O159" s="141"/>
      <c r="P159" s="151">
        <f t="shared" si="102"/>
        <v>0</v>
      </c>
      <c r="R159" s="190">
        <f t="shared" si="109"/>
        <v>0</v>
      </c>
      <c r="S159" s="1612"/>
      <c r="T159" s="142">
        <f t="shared" si="110"/>
        <v>0</v>
      </c>
      <c r="U159" s="725"/>
      <c r="V159" s="142"/>
      <c r="W159" s="128"/>
      <c r="X159" s="154"/>
    </row>
    <row r="160" spans="2:24" outlineLevel="1">
      <c r="B160" s="128" t="s">
        <v>5</v>
      </c>
      <c r="C160" s="126" t="s">
        <v>208</v>
      </c>
      <c r="D160" s="128" t="s">
        <v>263</v>
      </c>
      <c r="E160" s="128" t="s">
        <v>0</v>
      </c>
      <c r="F160" s="141"/>
      <c r="G160" s="141"/>
      <c r="H160" s="141"/>
      <c r="I160" s="141"/>
      <c r="J160" s="141"/>
      <c r="K160" s="141"/>
      <c r="L160" s="141"/>
      <c r="M160" s="141"/>
      <c r="N160" s="141"/>
      <c r="O160" s="141"/>
      <c r="P160" s="151">
        <f t="shared" si="102"/>
        <v>0</v>
      </c>
      <c r="R160" s="190">
        <f t="shared" si="109"/>
        <v>0</v>
      </c>
      <c r="S160" s="1612"/>
      <c r="T160" s="142">
        <f t="shared" si="110"/>
        <v>0</v>
      </c>
      <c r="U160" s="725"/>
      <c r="V160" s="142"/>
      <c r="W160" s="128"/>
      <c r="X160" s="154"/>
    </row>
    <row r="161" spans="2:24" outlineLevel="1">
      <c r="B161" s="128" t="s">
        <v>5</v>
      </c>
      <c r="C161" s="126" t="s">
        <v>205</v>
      </c>
      <c r="D161" s="128" t="s">
        <v>402</v>
      </c>
      <c r="E161" s="128" t="s">
        <v>0</v>
      </c>
      <c r="F161" s="142">
        <f>'N_02 Vstupy'!$C$68</f>
        <v>0</v>
      </c>
      <c r="G161" s="142">
        <f>'N_02 Vstupy'!$D$68</f>
        <v>0</v>
      </c>
      <c r="H161" s="142">
        <f>'N_02 Vstupy'!E$68</f>
        <v>578175</v>
      </c>
      <c r="I161" s="142">
        <f>'N_02 Vstupy'!$F$68</f>
        <v>578175</v>
      </c>
      <c r="J161" s="142">
        <f>'N_02 Vstupy'!$G$68</f>
        <v>578175</v>
      </c>
      <c r="K161" s="142">
        <f>'N_02 Vstupy'!$H$68</f>
        <v>578175</v>
      </c>
      <c r="L161" s="142">
        <f>'N_02 Vstupy'!$I$68</f>
        <v>578175</v>
      </c>
      <c r="M161" s="142">
        <f>'N_02 Vstupy'!$J$68</f>
        <v>578175</v>
      </c>
      <c r="N161" s="142">
        <f>'N_02 Vstupy'!$K$68</f>
        <v>578175</v>
      </c>
      <c r="O161" s="142">
        <f>'N_02 Vstupy'!$L$68</f>
        <v>578175</v>
      </c>
      <c r="P161" s="140">
        <f t="shared" si="102"/>
        <v>4625400</v>
      </c>
      <c r="R161" s="190">
        <f t="shared" si="109"/>
        <v>578175</v>
      </c>
      <c r="S161" s="1612"/>
      <c r="T161" s="142">
        <f t="shared" si="110"/>
        <v>4047225</v>
      </c>
      <c r="U161" s="725"/>
      <c r="V161" s="142"/>
      <c r="W161" s="128"/>
      <c r="X161" s="154"/>
    </row>
    <row r="162" spans="2:24" outlineLevel="1">
      <c r="B162" s="138"/>
      <c r="C162" s="136" t="s">
        <v>407</v>
      </c>
      <c r="D162" s="138"/>
      <c r="E162" s="138"/>
      <c r="F162" s="139">
        <f t="shared" ref="F162:O162" si="111">SUM(F163:F163)</f>
        <v>0</v>
      </c>
      <c r="G162" s="139">
        <f t="shared" si="111"/>
        <v>0</v>
      </c>
      <c r="H162" s="139">
        <f t="shared" si="111"/>
        <v>60000</v>
      </c>
      <c r="I162" s="139">
        <f t="shared" si="111"/>
        <v>0</v>
      </c>
      <c r="J162" s="139">
        <f t="shared" si="111"/>
        <v>0</v>
      </c>
      <c r="K162" s="139">
        <f t="shared" si="111"/>
        <v>0</v>
      </c>
      <c r="L162" s="139">
        <f t="shared" si="111"/>
        <v>0</v>
      </c>
      <c r="M162" s="139">
        <f t="shared" si="111"/>
        <v>0</v>
      </c>
      <c r="N162" s="139">
        <f t="shared" si="111"/>
        <v>0</v>
      </c>
      <c r="O162" s="139">
        <f t="shared" si="111"/>
        <v>0</v>
      </c>
      <c r="P162" s="151">
        <f t="shared" si="102"/>
        <v>60000</v>
      </c>
      <c r="R162" s="190"/>
      <c r="S162" s="1612"/>
      <c r="T162" s="142"/>
      <c r="U162" s="725"/>
      <c r="V162" s="142"/>
      <c r="W162" s="128"/>
      <c r="X162" s="154"/>
    </row>
    <row r="163" spans="2:24" outlineLevel="1">
      <c r="B163" s="128" t="s">
        <v>5</v>
      </c>
      <c r="C163" s="126" t="s">
        <v>407</v>
      </c>
      <c r="D163" s="128" t="s">
        <v>407</v>
      </c>
      <c r="E163" s="128" t="s">
        <v>0</v>
      </c>
      <c r="F163" s="142"/>
      <c r="G163" s="141"/>
      <c r="H163" s="141">
        <f>'N_02 Vstupy'!$E$110*1.2</f>
        <v>60000</v>
      </c>
      <c r="I163" s="141"/>
      <c r="J163" s="141"/>
      <c r="K163" s="141"/>
      <c r="L163" s="141"/>
      <c r="M163" s="141"/>
      <c r="N163" s="141"/>
      <c r="O163" s="141"/>
      <c r="P163" s="151">
        <f t="shared" si="102"/>
        <v>60000</v>
      </c>
      <c r="R163" s="190">
        <f>SUM(F163:H163)</f>
        <v>60000</v>
      </c>
      <c r="S163" s="1612"/>
      <c r="T163" s="142">
        <f>SUM(I163:O163)</f>
        <v>0</v>
      </c>
      <c r="U163" s="725"/>
      <c r="V163" s="142"/>
      <c r="W163" s="128"/>
      <c r="X163" s="154"/>
    </row>
    <row r="164" spans="2:24" outlineLevel="1">
      <c r="B164" s="138"/>
      <c r="C164" s="136" t="s">
        <v>209</v>
      </c>
      <c r="D164" s="138"/>
      <c r="E164" s="138"/>
      <c r="F164" s="139">
        <f t="shared" ref="F164:I164" si="112">SUM(F165:F167)</f>
        <v>564624</v>
      </c>
      <c r="G164" s="139">
        <f t="shared" si="112"/>
        <v>1129248</v>
      </c>
      <c r="H164" s="139">
        <f t="shared" si="112"/>
        <v>1129248</v>
      </c>
      <c r="I164" s="139">
        <f t="shared" si="112"/>
        <v>92352</v>
      </c>
      <c r="J164" s="139">
        <f>SUM(J165:J167)</f>
        <v>92352</v>
      </c>
      <c r="K164" s="139">
        <f t="shared" ref="K164:O164" si="113">SUM(K165:K167)</f>
        <v>46176</v>
      </c>
      <c r="L164" s="139">
        <f t="shared" si="113"/>
        <v>46176</v>
      </c>
      <c r="M164" s="139">
        <f t="shared" si="113"/>
        <v>46176</v>
      </c>
      <c r="N164" s="139">
        <f t="shared" si="113"/>
        <v>46176</v>
      </c>
      <c r="O164" s="139">
        <f t="shared" si="113"/>
        <v>46176</v>
      </c>
      <c r="P164" s="140">
        <f t="shared" si="102"/>
        <v>3238704</v>
      </c>
      <c r="R164" s="126"/>
      <c r="S164" s="1612"/>
      <c r="T164" s="128"/>
      <c r="U164" s="725"/>
      <c r="V164" s="128"/>
      <c r="W164" s="128"/>
      <c r="X164" s="154"/>
    </row>
    <row r="165" spans="2:24" outlineLevel="1">
      <c r="B165" s="128" t="s">
        <v>5</v>
      </c>
      <c r="C165" s="126" t="s">
        <v>209</v>
      </c>
      <c r="D165" s="128" t="s">
        <v>210</v>
      </c>
      <c r="E165" s="128" t="s">
        <v>0</v>
      </c>
      <c r="F165" s="142">
        <f>'N_02 Vstupy'!$C$54</f>
        <v>69264</v>
      </c>
      <c r="G165" s="142">
        <f>'N_02 Vstupy'!$D$54</f>
        <v>138528</v>
      </c>
      <c r="H165" s="142">
        <f>'N_02 Vstupy'!$E$54</f>
        <v>138528</v>
      </c>
      <c r="I165" s="142">
        <f>'N_02 Vstupy'!$F$54</f>
        <v>92352</v>
      </c>
      <c r="J165" s="142">
        <f>'N_02 Vstupy'!$G$54</f>
        <v>92352</v>
      </c>
      <c r="K165" s="142">
        <f>'N_02 Vstupy'!$H$54</f>
        <v>46176</v>
      </c>
      <c r="L165" s="142">
        <f>'N_02 Vstupy'!$I$54</f>
        <v>46176</v>
      </c>
      <c r="M165" s="142">
        <f>'N_02 Vstupy'!$J$54</f>
        <v>46176</v>
      </c>
      <c r="N165" s="142">
        <f>'N_02 Vstupy'!$K$54</f>
        <v>46176</v>
      </c>
      <c r="O165" s="142">
        <f>'N_02 Vstupy'!$L$54</f>
        <v>46176</v>
      </c>
      <c r="P165" s="151">
        <f t="shared" si="102"/>
        <v>761904</v>
      </c>
      <c r="R165" s="190">
        <f>SUM(F165:H165)</f>
        <v>346320</v>
      </c>
      <c r="S165" s="1612"/>
      <c r="T165" s="142">
        <f>SUM(I165:O165)</f>
        <v>415584</v>
      </c>
      <c r="U165" s="725"/>
      <c r="V165" s="142"/>
      <c r="W165" s="128"/>
      <c r="X165" s="154"/>
    </row>
    <row r="166" spans="2:24" outlineLevel="1">
      <c r="B166" s="147" t="s">
        <v>5</v>
      </c>
      <c r="C166" s="146" t="s">
        <v>209</v>
      </c>
      <c r="D166" s="147" t="s">
        <v>211</v>
      </c>
      <c r="E166" s="147" t="s">
        <v>0</v>
      </c>
      <c r="F166" s="148">
        <f>'N_02 Vstupy'!$D$102</f>
        <v>495360</v>
      </c>
      <c r="G166" s="148">
        <f>'N_02 Vstupy'!$F$102</f>
        <v>990720</v>
      </c>
      <c r="H166" s="148">
        <f>'N_02 Vstupy'!$H$102</f>
        <v>990720</v>
      </c>
      <c r="I166" s="148">
        <f>'N_02 Vstupy'!$J$102</f>
        <v>0</v>
      </c>
      <c r="J166" s="148"/>
      <c r="K166" s="148"/>
      <c r="L166" s="148"/>
      <c r="M166" s="148"/>
      <c r="N166" s="148"/>
      <c r="O166" s="148"/>
      <c r="P166" s="152">
        <f t="shared" si="102"/>
        <v>2476800</v>
      </c>
      <c r="R166" s="190">
        <f>SUM(F166:H166)</f>
        <v>2476800</v>
      </c>
      <c r="S166" s="1612"/>
      <c r="T166" s="142">
        <f>SUM(I166:O166)</f>
        <v>0</v>
      </c>
      <c r="U166" s="725"/>
      <c r="V166" s="142"/>
      <c r="W166" s="128"/>
      <c r="X166" s="154"/>
    </row>
    <row r="167" spans="2:24" outlineLevel="1">
      <c r="B167" s="144" t="s">
        <v>5</v>
      </c>
      <c r="C167" s="123" t="s">
        <v>209</v>
      </c>
      <c r="D167" s="144" t="s">
        <v>408</v>
      </c>
      <c r="E167" s="144" t="s">
        <v>0</v>
      </c>
      <c r="F167" s="145"/>
      <c r="G167" s="145"/>
      <c r="H167" s="145"/>
      <c r="I167" s="145"/>
      <c r="J167" s="145"/>
      <c r="K167" s="145"/>
      <c r="L167" s="145"/>
      <c r="M167" s="145"/>
      <c r="N167" s="145"/>
      <c r="O167" s="145"/>
      <c r="P167" s="153">
        <f t="shared" si="102"/>
        <v>0</v>
      </c>
      <c r="R167" s="197">
        <f>SUM(F167,G167,H167/2)</f>
        <v>0</v>
      </c>
      <c r="S167" s="1613"/>
      <c r="T167" s="181">
        <f>SUM(H167/2,I167:O167)</f>
        <v>0</v>
      </c>
      <c r="U167" s="1622"/>
      <c r="V167" s="181"/>
      <c r="W167" s="144"/>
      <c r="X167" s="155"/>
    </row>
    <row r="168" spans="2:24" outlineLevel="1">
      <c r="F168" s="949"/>
      <c r="G168" s="949"/>
      <c r="H168" s="949"/>
      <c r="I168" s="949"/>
      <c r="J168" s="949"/>
      <c r="K168" s="949"/>
      <c r="L168" s="949"/>
      <c r="M168" s="949"/>
      <c r="N168" s="949"/>
      <c r="O168" s="949"/>
      <c r="P168" s="950"/>
      <c r="R168" s="46"/>
      <c r="T168" s="46"/>
      <c r="V168" s="46"/>
    </row>
    <row r="169" spans="2:24">
      <c r="R169" s="46"/>
      <c r="T169" s="46"/>
      <c r="V169" s="46"/>
    </row>
    <row r="170" spans="2:24">
      <c r="B170" s="135"/>
      <c r="C170" s="134" t="s">
        <v>682</v>
      </c>
      <c r="D170" s="135"/>
      <c r="E170" s="135"/>
      <c r="F170" s="149" t="e">
        <f t="shared" ref="F170:O170" si="114">SUM(F209,F207,F197,F189,F185,F181,F177,F171)</f>
        <v>#REF!</v>
      </c>
      <c r="G170" s="149" t="e">
        <f t="shared" si="114"/>
        <v>#REF!</v>
      </c>
      <c r="H170" s="149">
        <f t="shared" si="114"/>
        <v>2084554.95</v>
      </c>
      <c r="I170" s="149">
        <f t="shared" si="114"/>
        <v>670527</v>
      </c>
      <c r="J170" s="149">
        <f t="shared" si="114"/>
        <v>670527</v>
      </c>
      <c r="K170" s="149">
        <f t="shared" si="114"/>
        <v>624351</v>
      </c>
      <c r="L170" s="149">
        <f t="shared" si="114"/>
        <v>624351</v>
      </c>
      <c r="M170" s="149">
        <f t="shared" si="114"/>
        <v>624351</v>
      </c>
      <c r="N170" s="149">
        <f t="shared" si="114"/>
        <v>624351</v>
      </c>
      <c r="O170" s="149">
        <f t="shared" si="114"/>
        <v>624351</v>
      </c>
      <c r="P170" s="150" t="e">
        <f t="shared" ref="P170:P212" si="115">SUM(F170:O170)</f>
        <v>#REF!</v>
      </c>
      <c r="R170" s="194" t="e">
        <f>SUM(R171:R212)</f>
        <v>#REF!</v>
      </c>
      <c r="S170" s="1610"/>
      <c r="T170" s="195">
        <f>SUM(T171:T212)</f>
        <v>9490242</v>
      </c>
      <c r="U170" s="1620"/>
      <c r="V170" s="195"/>
      <c r="W170" s="195">
        <f>SUM(W171:W212)</f>
        <v>0</v>
      </c>
      <c r="X170" s="196">
        <f>SUM(X171:X212)</f>
        <v>0</v>
      </c>
    </row>
    <row r="171" spans="2:24" customFormat="1" ht="15" outlineLevel="1">
      <c r="B171" s="138"/>
      <c r="C171" s="136" t="s">
        <v>205</v>
      </c>
      <c r="D171" s="137"/>
      <c r="E171" s="138"/>
      <c r="F171" s="139">
        <f>SUM(F172:F176)</f>
        <v>300165.45</v>
      </c>
      <c r="G171" s="139" t="e">
        <f t="shared" ref="G171:O171" si="116">SUM(G172:G176)</f>
        <v>#REF!</v>
      </c>
      <c r="H171" s="139">
        <f t="shared" si="116"/>
        <v>377131.95</v>
      </c>
      <c r="I171" s="139">
        <f t="shared" si="116"/>
        <v>0</v>
      </c>
      <c r="J171" s="139">
        <f t="shared" si="116"/>
        <v>0</v>
      </c>
      <c r="K171" s="139">
        <f t="shared" si="116"/>
        <v>0</v>
      </c>
      <c r="L171" s="139">
        <f t="shared" si="116"/>
        <v>0</v>
      </c>
      <c r="M171" s="139">
        <f t="shared" si="116"/>
        <v>0</v>
      </c>
      <c r="N171" s="139">
        <f t="shared" si="116"/>
        <v>0</v>
      </c>
      <c r="O171" s="139">
        <f t="shared" si="116"/>
        <v>0</v>
      </c>
      <c r="P171" s="140" t="e">
        <f t="shared" si="115"/>
        <v>#REF!</v>
      </c>
      <c r="R171" s="191"/>
      <c r="S171" s="1611"/>
      <c r="T171" s="192"/>
      <c r="U171" s="1621"/>
      <c r="V171" s="192"/>
      <c r="W171" s="192"/>
      <c r="X171" s="193"/>
    </row>
    <row r="172" spans="2:24" outlineLevel="1">
      <c r="B172" s="128" t="s">
        <v>7</v>
      </c>
      <c r="C172" s="126" t="s">
        <v>205</v>
      </c>
      <c r="D172" s="128" t="s">
        <v>198</v>
      </c>
      <c r="E172" s="128" t="s">
        <v>0</v>
      </c>
      <c r="F172" s="141"/>
      <c r="G172" s="141"/>
      <c r="H172" s="141"/>
      <c r="I172" s="141"/>
      <c r="J172" s="141"/>
      <c r="K172" s="141"/>
      <c r="L172" s="141"/>
      <c r="M172" s="141"/>
      <c r="N172" s="141"/>
      <c r="O172" s="141"/>
      <c r="P172" s="151">
        <f t="shared" si="115"/>
        <v>0</v>
      </c>
      <c r="R172" s="190">
        <f>SUM(F172:H172)</f>
        <v>0</v>
      </c>
      <c r="S172" s="1612"/>
      <c r="T172" s="142">
        <f>SUM(I172:O172)-W172-X172</f>
        <v>0</v>
      </c>
      <c r="U172" s="725"/>
      <c r="V172" s="142"/>
      <c r="W172" s="128"/>
      <c r="X172" s="154"/>
    </row>
    <row r="173" spans="2:24" outlineLevel="1">
      <c r="B173" s="128" t="s">
        <v>7</v>
      </c>
      <c r="C173" s="126" t="s">
        <v>205</v>
      </c>
      <c r="D173" s="128" t="s">
        <v>199</v>
      </c>
      <c r="E173" s="128" t="s">
        <v>0</v>
      </c>
      <c r="F173" s="141"/>
      <c r="G173" s="141"/>
      <c r="H173" s="141"/>
      <c r="I173" s="141"/>
      <c r="J173" s="141"/>
      <c r="K173" s="141"/>
      <c r="L173" s="141"/>
      <c r="M173" s="141"/>
      <c r="N173" s="141"/>
      <c r="O173" s="141"/>
      <c r="P173" s="151">
        <f t="shared" si="115"/>
        <v>0</v>
      </c>
      <c r="R173" s="190">
        <f>SUM(F173:H173)</f>
        <v>0</v>
      </c>
      <c r="S173" s="1612"/>
      <c r="T173" s="142">
        <f>SUM(I173:O173)-W173-X173</f>
        <v>0</v>
      </c>
      <c r="U173" s="725"/>
      <c r="V173" s="142"/>
      <c r="W173" s="128"/>
      <c r="X173" s="154"/>
    </row>
    <row r="174" spans="2:24" outlineLevel="1">
      <c r="B174" s="128" t="s">
        <v>7</v>
      </c>
      <c r="C174" s="126" t="s">
        <v>205</v>
      </c>
      <c r="D174" s="128" t="s">
        <v>3</v>
      </c>
      <c r="E174" s="128" t="s">
        <v>0</v>
      </c>
      <c r="F174" s="141"/>
      <c r="G174" s="141" t="e">
        <f>'N_03 Prieskum BO'!#REF!</f>
        <v>#REF!</v>
      </c>
      <c r="H174" s="141"/>
      <c r="I174" s="141"/>
      <c r="J174" s="141"/>
      <c r="K174" s="141"/>
      <c r="L174" s="141"/>
      <c r="M174" s="141"/>
      <c r="N174" s="141"/>
      <c r="O174" s="141"/>
      <c r="P174" s="151" t="e">
        <f t="shared" si="115"/>
        <v>#REF!</v>
      </c>
      <c r="R174" s="190" t="e">
        <f>SUM(F174:H174)</f>
        <v>#REF!</v>
      </c>
      <c r="S174" s="1612"/>
      <c r="T174" s="142">
        <f>SUM(I174:O174)-W174-X174</f>
        <v>0</v>
      </c>
      <c r="U174" s="725"/>
      <c r="V174" s="142"/>
      <c r="W174" s="128"/>
      <c r="X174" s="154"/>
    </row>
    <row r="175" spans="2:24" outlineLevel="1">
      <c r="B175" s="128" t="s">
        <v>7</v>
      </c>
      <c r="C175" s="126" t="s">
        <v>205</v>
      </c>
      <c r="D175" s="128" t="s">
        <v>256</v>
      </c>
      <c r="E175" s="128" t="s">
        <v>0</v>
      </c>
      <c r="F175" s="141"/>
      <c r="G175" s="141"/>
      <c r="H175" s="141"/>
      <c r="I175" s="141"/>
      <c r="J175" s="141"/>
      <c r="K175" s="141"/>
      <c r="L175" s="141"/>
      <c r="M175" s="141"/>
      <c r="N175" s="141"/>
      <c r="O175" s="141"/>
      <c r="P175" s="151">
        <f t="shared" si="115"/>
        <v>0</v>
      </c>
      <c r="R175" s="190">
        <f>SUM(F175:H175)</f>
        <v>0</v>
      </c>
      <c r="S175" s="1612"/>
      <c r="T175" s="142">
        <f>SUM(I175:O175)-W175-X175</f>
        <v>0</v>
      </c>
      <c r="U175" s="725"/>
      <c r="V175" s="142"/>
      <c r="W175" s="128"/>
      <c r="X175" s="154"/>
    </row>
    <row r="176" spans="2:24" outlineLevel="1">
      <c r="B176" s="128" t="s">
        <v>5</v>
      </c>
      <c r="C176" s="126" t="s">
        <v>205</v>
      </c>
      <c r="D176" s="128" t="s">
        <v>404</v>
      </c>
      <c r="E176" s="128" t="s">
        <v>0</v>
      </c>
      <c r="F176" s="142">
        <f>'N_02 Vstupy'!$C$58</f>
        <v>300165.45</v>
      </c>
      <c r="G176" s="142">
        <f>'N_02 Vstupy'!$D$58</f>
        <v>731173.95</v>
      </c>
      <c r="H176" s="142">
        <f>'N_02 Vstupy'!$E$58</f>
        <v>377131.95</v>
      </c>
      <c r="I176" s="142">
        <f>'N_02 Vstupy'!$F$58</f>
        <v>0</v>
      </c>
      <c r="J176" s="142">
        <f>'N_02 Vstupy'!$G$58</f>
        <v>0</v>
      </c>
      <c r="K176" s="142">
        <f>'N_02 Vstupy'!$H$58</f>
        <v>0</v>
      </c>
      <c r="L176" s="142">
        <f>'N_02 Vstupy'!$I$58</f>
        <v>0</v>
      </c>
      <c r="M176" s="142">
        <f>'N_02 Vstupy'!$J$58</f>
        <v>0</v>
      </c>
      <c r="N176" s="142">
        <f>'N_02 Vstupy'!$K$58</f>
        <v>0</v>
      </c>
      <c r="O176" s="142">
        <f>'N_02 Vstupy'!$L$58</f>
        <v>0</v>
      </c>
      <c r="P176" s="151">
        <f t="shared" si="115"/>
        <v>1408471.3499999999</v>
      </c>
      <c r="R176" s="190">
        <f>SUM(F176:H176)</f>
        <v>1408471.3499999999</v>
      </c>
      <c r="S176" s="1612"/>
      <c r="T176" s="142">
        <f>SUM(I176:O176)-W176-X176</f>
        <v>0</v>
      </c>
      <c r="U176" s="725"/>
      <c r="V176" s="142"/>
      <c r="W176" s="128"/>
      <c r="X176" s="154"/>
    </row>
    <row r="177" spans="2:24" outlineLevel="1" collapsed="1">
      <c r="B177" s="138"/>
      <c r="C177" s="136" t="s">
        <v>197</v>
      </c>
      <c r="D177" s="137"/>
      <c r="E177" s="138" t="s">
        <v>0</v>
      </c>
      <c r="F177" s="139">
        <f t="shared" ref="F177:O177" si="117">SUM(F178:F180)</f>
        <v>0</v>
      </c>
      <c r="G177" s="139">
        <f t="shared" si="117"/>
        <v>0</v>
      </c>
      <c r="H177" s="139">
        <f t="shared" si="117"/>
        <v>0</v>
      </c>
      <c r="I177" s="139">
        <f t="shared" si="117"/>
        <v>0</v>
      </c>
      <c r="J177" s="139">
        <f t="shared" si="117"/>
        <v>0</v>
      </c>
      <c r="K177" s="139">
        <f t="shared" si="117"/>
        <v>0</v>
      </c>
      <c r="L177" s="139">
        <f t="shared" si="117"/>
        <v>0</v>
      </c>
      <c r="M177" s="139">
        <f t="shared" si="117"/>
        <v>0</v>
      </c>
      <c r="N177" s="139">
        <f t="shared" si="117"/>
        <v>0</v>
      </c>
      <c r="O177" s="139">
        <f t="shared" si="117"/>
        <v>0</v>
      </c>
      <c r="P177" s="140">
        <f t="shared" si="115"/>
        <v>0</v>
      </c>
      <c r="R177" s="126"/>
      <c r="S177" s="1612"/>
      <c r="T177" s="128"/>
      <c r="U177" s="725"/>
      <c r="V177" s="128"/>
      <c r="W177" s="128"/>
      <c r="X177" s="154"/>
    </row>
    <row r="178" spans="2:24" outlineLevel="1">
      <c r="B178" s="128" t="s">
        <v>7</v>
      </c>
      <c r="C178" s="126" t="s">
        <v>201</v>
      </c>
      <c r="D178" s="128" t="s">
        <v>198</v>
      </c>
      <c r="E178" s="128" t="s">
        <v>0</v>
      </c>
      <c r="F178" s="141"/>
      <c r="G178" s="141"/>
      <c r="H178" s="141"/>
      <c r="I178" s="141"/>
      <c r="J178" s="141"/>
      <c r="K178" s="141"/>
      <c r="L178" s="141"/>
      <c r="M178" s="141"/>
      <c r="N178" s="141"/>
      <c r="O178" s="141"/>
      <c r="P178" s="151">
        <f t="shared" si="115"/>
        <v>0</v>
      </c>
      <c r="R178" s="190">
        <f>SUM(F178:H178)</f>
        <v>0</v>
      </c>
      <c r="S178" s="1612"/>
      <c r="T178" s="142">
        <f>SUM(I178:O178)-W178-X178</f>
        <v>0</v>
      </c>
      <c r="U178" s="725"/>
      <c r="V178" s="142"/>
      <c r="W178" s="128"/>
      <c r="X178" s="154"/>
    </row>
    <row r="179" spans="2:24" outlineLevel="1">
      <c r="B179" s="128" t="s">
        <v>7</v>
      </c>
      <c r="C179" s="126" t="s">
        <v>201</v>
      </c>
      <c r="D179" s="128" t="s">
        <v>199</v>
      </c>
      <c r="E179" s="128" t="s">
        <v>0</v>
      </c>
      <c r="F179" s="141"/>
      <c r="G179" s="141"/>
      <c r="H179" s="141"/>
      <c r="I179" s="141"/>
      <c r="J179" s="141"/>
      <c r="K179" s="141"/>
      <c r="L179" s="141"/>
      <c r="M179" s="141"/>
      <c r="N179" s="141"/>
      <c r="O179" s="141"/>
      <c r="P179" s="151">
        <f t="shared" si="115"/>
        <v>0</v>
      </c>
      <c r="R179" s="190">
        <f>SUM(F179:H179)</f>
        <v>0</v>
      </c>
      <c r="S179" s="1612"/>
      <c r="T179" s="142">
        <f>SUM(I179:O179)-W179-X179</f>
        <v>0</v>
      </c>
      <c r="U179" s="725"/>
      <c r="V179" s="142"/>
      <c r="W179" s="128"/>
      <c r="X179" s="154"/>
    </row>
    <row r="180" spans="2:24" outlineLevel="1">
      <c r="B180" s="128" t="s">
        <v>7</v>
      </c>
      <c r="C180" s="126" t="s">
        <v>201</v>
      </c>
      <c r="D180" s="128" t="s">
        <v>3</v>
      </c>
      <c r="E180" s="128" t="s">
        <v>0</v>
      </c>
      <c r="F180" s="141"/>
      <c r="G180" s="141"/>
      <c r="H180" s="141"/>
      <c r="I180" s="141"/>
      <c r="J180" s="141"/>
      <c r="K180" s="141"/>
      <c r="L180" s="141"/>
      <c r="M180" s="141"/>
      <c r="N180" s="141"/>
      <c r="O180" s="141"/>
      <c r="P180" s="151">
        <f t="shared" si="115"/>
        <v>0</v>
      </c>
      <c r="R180" s="190">
        <f>SUM(F180:H180)</f>
        <v>0</v>
      </c>
      <c r="S180" s="1612"/>
      <c r="T180" s="142">
        <f>SUM(I180:O180)-W180-X180</f>
        <v>0</v>
      </c>
      <c r="U180" s="725"/>
      <c r="V180" s="142"/>
      <c r="W180" s="128"/>
      <c r="X180" s="154"/>
    </row>
    <row r="181" spans="2:24" outlineLevel="1" collapsed="1">
      <c r="B181" s="138"/>
      <c r="C181" s="136" t="s">
        <v>204</v>
      </c>
      <c r="D181" s="137"/>
      <c r="E181" s="138" t="s">
        <v>0</v>
      </c>
      <c r="F181" s="139">
        <f t="shared" ref="F181:O181" si="118">SUM(F182:F184)</f>
        <v>0</v>
      </c>
      <c r="G181" s="139">
        <f t="shared" si="118"/>
        <v>0</v>
      </c>
      <c r="H181" s="139">
        <f t="shared" si="118"/>
        <v>0</v>
      </c>
      <c r="I181" s="139">
        <f t="shared" si="118"/>
        <v>0</v>
      </c>
      <c r="J181" s="139">
        <f t="shared" si="118"/>
        <v>0</v>
      </c>
      <c r="K181" s="139">
        <f t="shared" si="118"/>
        <v>0</v>
      </c>
      <c r="L181" s="139">
        <f t="shared" si="118"/>
        <v>0</v>
      </c>
      <c r="M181" s="139">
        <f t="shared" si="118"/>
        <v>0</v>
      </c>
      <c r="N181" s="139">
        <f t="shared" si="118"/>
        <v>0</v>
      </c>
      <c r="O181" s="139">
        <f t="shared" si="118"/>
        <v>0</v>
      </c>
      <c r="P181" s="140">
        <f t="shared" si="115"/>
        <v>0</v>
      </c>
      <c r="R181" s="126"/>
      <c r="S181" s="1612"/>
      <c r="T181" s="128"/>
      <c r="U181" s="725"/>
      <c r="V181" s="128"/>
      <c r="W181" s="128"/>
      <c r="X181" s="154"/>
    </row>
    <row r="182" spans="2:24" outlineLevel="1">
      <c r="B182" s="128" t="s">
        <v>7</v>
      </c>
      <c r="C182" s="126" t="s">
        <v>257</v>
      </c>
      <c r="D182" s="128" t="s">
        <v>198</v>
      </c>
      <c r="E182" s="128" t="s">
        <v>0</v>
      </c>
      <c r="F182" s="141"/>
      <c r="G182" s="141"/>
      <c r="H182" s="141"/>
      <c r="I182" s="141"/>
      <c r="J182" s="141"/>
      <c r="K182" s="141"/>
      <c r="L182" s="141"/>
      <c r="M182" s="141"/>
      <c r="N182" s="141"/>
      <c r="O182" s="141"/>
      <c r="P182" s="151">
        <f t="shared" si="115"/>
        <v>0</v>
      </c>
      <c r="R182" s="190">
        <f>SUM(F182:H182)</f>
        <v>0</v>
      </c>
      <c r="S182" s="1612"/>
      <c r="T182" s="142">
        <f>SUM(I182:O182)-W182-X182</f>
        <v>0</v>
      </c>
      <c r="U182" s="725"/>
      <c r="V182" s="142"/>
      <c r="W182" s="128"/>
      <c r="X182" s="154"/>
    </row>
    <row r="183" spans="2:24" outlineLevel="1">
      <c r="B183" s="128" t="s">
        <v>7</v>
      </c>
      <c r="C183" s="126" t="s">
        <v>257</v>
      </c>
      <c r="D183" s="128" t="s">
        <v>199</v>
      </c>
      <c r="E183" s="128" t="s">
        <v>0</v>
      </c>
      <c r="F183" s="141"/>
      <c r="G183" s="141"/>
      <c r="H183" s="141"/>
      <c r="I183" s="141"/>
      <c r="J183" s="141"/>
      <c r="K183" s="141"/>
      <c r="L183" s="141"/>
      <c r="M183" s="141"/>
      <c r="N183" s="141"/>
      <c r="O183" s="141"/>
      <c r="P183" s="151">
        <f t="shared" si="115"/>
        <v>0</v>
      </c>
      <c r="R183" s="190">
        <f>SUM(F183:H183)</f>
        <v>0</v>
      </c>
      <c r="S183" s="1612"/>
      <c r="T183" s="142">
        <f>SUM(I183:O183)-W183-X183</f>
        <v>0</v>
      </c>
      <c r="U183" s="725"/>
      <c r="V183" s="142"/>
      <c r="W183" s="128"/>
      <c r="X183" s="154"/>
    </row>
    <row r="184" spans="2:24" outlineLevel="1">
      <c r="B184" s="128" t="s">
        <v>7</v>
      </c>
      <c r="C184" s="126" t="s">
        <v>257</v>
      </c>
      <c r="D184" s="128" t="s">
        <v>3</v>
      </c>
      <c r="E184" s="128" t="s">
        <v>0</v>
      </c>
      <c r="F184" s="141"/>
      <c r="G184" s="141"/>
      <c r="H184" s="141"/>
      <c r="I184" s="141"/>
      <c r="J184" s="141"/>
      <c r="K184" s="141"/>
      <c r="L184" s="141"/>
      <c r="M184" s="141"/>
      <c r="N184" s="141"/>
      <c r="O184" s="141"/>
      <c r="P184" s="151">
        <f t="shared" si="115"/>
        <v>0</v>
      </c>
      <c r="R184" s="190">
        <f>SUM(F184:H184)</f>
        <v>0</v>
      </c>
      <c r="S184" s="1612"/>
      <c r="T184" s="142">
        <f>SUM(I184:O184)-W184-X184</f>
        <v>0</v>
      </c>
      <c r="U184" s="725"/>
      <c r="V184" s="142"/>
      <c r="W184" s="128"/>
      <c r="X184" s="154"/>
    </row>
    <row r="185" spans="2:24" outlineLevel="1" collapsed="1">
      <c r="B185" s="138"/>
      <c r="C185" s="136" t="s">
        <v>206</v>
      </c>
      <c r="D185" s="138"/>
      <c r="E185" s="138"/>
      <c r="F185" s="139">
        <f t="shared" ref="F185:O185" si="119">SUM(F186:F188)</f>
        <v>0</v>
      </c>
      <c r="G185" s="139">
        <f t="shared" si="119"/>
        <v>0</v>
      </c>
      <c r="H185" s="139">
        <f t="shared" si="119"/>
        <v>0</v>
      </c>
      <c r="I185" s="139">
        <f t="shared" si="119"/>
        <v>0</v>
      </c>
      <c r="J185" s="139">
        <f t="shared" si="119"/>
        <v>0</v>
      </c>
      <c r="K185" s="139">
        <f t="shared" si="119"/>
        <v>0</v>
      </c>
      <c r="L185" s="139">
        <f t="shared" si="119"/>
        <v>0</v>
      </c>
      <c r="M185" s="139">
        <f t="shared" si="119"/>
        <v>0</v>
      </c>
      <c r="N185" s="139">
        <f t="shared" si="119"/>
        <v>0</v>
      </c>
      <c r="O185" s="139">
        <f t="shared" si="119"/>
        <v>0</v>
      </c>
      <c r="P185" s="140">
        <f t="shared" si="115"/>
        <v>0</v>
      </c>
      <c r="R185" s="126"/>
      <c r="S185" s="1612"/>
      <c r="T185" s="128"/>
      <c r="U185" s="725"/>
      <c r="V185" s="128"/>
      <c r="W185" s="128"/>
      <c r="X185" s="154"/>
    </row>
    <row r="186" spans="2:24" outlineLevel="1">
      <c r="B186" s="128" t="s">
        <v>7</v>
      </c>
      <c r="C186" s="126" t="s">
        <v>206</v>
      </c>
      <c r="D186" s="128" t="s">
        <v>205</v>
      </c>
      <c r="E186" s="128" t="s">
        <v>0</v>
      </c>
      <c r="F186" s="141"/>
      <c r="G186" s="141"/>
      <c r="H186" s="141"/>
      <c r="I186" s="141"/>
      <c r="J186" s="141"/>
      <c r="K186" s="141"/>
      <c r="L186" s="141"/>
      <c r="M186" s="141"/>
      <c r="N186" s="141"/>
      <c r="O186" s="141"/>
      <c r="P186" s="151">
        <f t="shared" si="115"/>
        <v>0</v>
      </c>
      <c r="R186" s="190">
        <f>SUM(F186:H186)</f>
        <v>0</v>
      </c>
      <c r="S186" s="1612"/>
      <c r="T186" s="142">
        <f>SUM(I186:O186)-W186-X186</f>
        <v>0</v>
      </c>
      <c r="U186" s="725"/>
      <c r="V186" s="142"/>
      <c r="W186" s="128"/>
      <c r="X186" s="154"/>
    </row>
    <row r="187" spans="2:24" outlineLevel="1">
      <c r="B187" s="143" t="s">
        <v>7</v>
      </c>
      <c r="C187" s="126" t="s">
        <v>1</v>
      </c>
      <c r="D187" s="128" t="s">
        <v>358</v>
      </c>
      <c r="E187" s="143" t="s">
        <v>1</v>
      </c>
      <c r="F187" s="141"/>
      <c r="G187" s="141"/>
      <c r="H187" s="141"/>
      <c r="I187" s="141"/>
      <c r="J187" s="141"/>
      <c r="K187" s="141"/>
      <c r="L187" s="141"/>
      <c r="M187" s="141"/>
      <c r="N187" s="141"/>
      <c r="O187" s="141"/>
      <c r="P187" s="151">
        <f t="shared" si="115"/>
        <v>0</v>
      </c>
      <c r="R187" s="190">
        <f>SUM(F187:H187)</f>
        <v>0</v>
      </c>
      <c r="S187" s="1612"/>
      <c r="T187" s="142">
        <f>SUM(I187:O187)-W187-X187</f>
        <v>0</v>
      </c>
      <c r="U187" s="725"/>
      <c r="V187" s="142"/>
      <c r="W187" s="128"/>
      <c r="X187" s="154"/>
    </row>
    <row r="188" spans="2:24" outlineLevel="1">
      <c r="B188" s="143" t="s">
        <v>7</v>
      </c>
      <c r="C188" s="126" t="s">
        <v>207</v>
      </c>
      <c r="D188" s="128" t="s">
        <v>358</v>
      </c>
      <c r="E188" s="143" t="s">
        <v>359</v>
      </c>
      <c r="F188" s="141"/>
      <c r="G188" s="141"/>
      <c r="H188" s="141"/>
      <c r="I188" s="141"/>
      <c r="J188" s="141"/>
      <c r="K188" s="141"/>
      <c r="L188" s="141"/>
      <c r="M188" s="141"/>
      <c r="N188" s="141"/>
      <c r="O188" s="141"/>
      <c r="P188" s="151">
        <f t="shared" si="115"/>
        <v>0</v>
      </c>
      <c r="R188" s="190">
        <f>SUM(F188:H188)</f>
        <v>0</v>
      </c>
      <c r="S188" s="1612"/>
      <c r="T188" s="142">
        <f>SUM(I188:O188)-W188-X188</f>
        <v>0</v>
      </c>
      <c r="U188" s="725"/>
      <c r="V188" s="142"/>
      <c r="W188" s="128"/>
      <c r="X188" s="154"/>
    </row>
    <row r="189" spans="2:24" outlineLevel="1">
      <c r="B189" s="138"/>
      <c r="C189" s="136" t="s">
        <v>360</v>
      </c>
      <c r="D189" s="138"/>
      <c r="E189" s="138"/>
      <c r="F189" s="139" t="e">
        <f t="shared" ref="F189:O189" si="120">SUM(F190:F196)</f>
        <v>#REF!</v>
      </c>
      <c r="G189" s="139">
        <f t="shared" si="120"/>
        <v>0</v>
      </c>
      <c r="H189" s="139">
        <f t="shared" si="120"/>
        <v>0</v>
      </c>
      <c r="I189" s="139">
        <f t="shared" si="120"/>
        <v>0</v>
      </c>
      <c r="J189" s="139">
        <f t="shared" si="120"/>
        <v>0</v>
      </c>
      <c r="K189" s="139">
        <f t="shared" si="120"/>
        <v>0</v>
      </c>
      <c r="L189" s="139">
        <f t="shared" si="120"/>
        <v>0</v>
      </c>
      <c r="M189" s="139">
        <f t="shared" si="120"/>
        <v>0</v>
      </c>
      <c r="N189" s="139">
        <f t="shared" si="120"/>
        <v>0</v>
      </c>
      <c r="O189" s="139">
        <f t="shared" si="120"/>
        <v>0</v>
      </c>
      <c r="P189" s="140" t="e">
        <f t="shared" si="115"/>
        <v>#REF!</v>
      </c>
      <c r="R189" s="126"/>
      <c r="S189" s="1612"/>
      <c r="T189" s="128"/>
      <c r="U189" s="725"/>
      <c r="V189" s="128"/>
      <c r="W189" s="128"/>
      <c r="X189" s="154"/>
    </row>
    <row r="190" spans="2:24" outlineLevel="1">
      <c r="B190" s="128" t="s">
        <v>7</v>
      </c>
      <c r="C190" s="126" t="s">
        <v>208</v>
      </c>
      <c r="D190" s="128" t="s">
        <v>571</v>
      </c>
      <c r="E190" s="128" t="s">
        <v>0</v>
      </c>
      <c r="F190" s="142" t="e">
        <f>'N_02 Vstupy'!#REF!*1.2</f>
        <v>#REF!</v>
      </c>
      <c r="G190" s="142"/>
      <c r="H190" s="142"/>
      <c r="I190" s="142"/>
      <c r="J190" s="142"/>
      <c r="K190" s="142"/>
      <c r="L190" s="142"/>
      <c r="M190" s="142"/>
      <c r="N190" s="142"/>
      <c r="O190" s="142"/>
      <c r="P190" s="151" t="e">
        <f t="shared" si="115"/>
        <v>#REF!</v>
      </c>
      <c r="R190" s="190" t="e">
        <f>SUM(F190:H190)</f>
        <v>#REF!</v>
      </c>
      <c r="S190" s="1612"/>
      <c r="T190" s="142">
        <f>SUM(I190:O190)-W190-X190</f>
        <v>0</v>
      </c>
      <c r="U190" s="725"/>
      <c r="V190" s="142"/>
      <c r="W190" s="128"/>
      <c r="X190" s="154"/>
    </row>
    <row r="191" spans="2:24" outlineLevel="1">
      <c r="B191" s="128" t="s">
        <v>7</v>
      </c>
      <c r="C191" s="126" t="s">
        <v>208</v>
      </c>
      <c r="D191" s="128" t="s">
        <v>572</v>
      </c>
      <c r="E191" s="128" t="s">
        <v>0</v>
      </c>
      <c r="F191" s="142" t="e">
        <f>'N_02 Vstupy'!#REF!*1.2</f>
        <v>#REF!</v>
      </c>
      <c r="G191" s="142"/>
      <c r="H191" s="142"/>
      <c r="I191" s="142"/>
      <c r="J191" s="142"/>
      <c r="K191" s="142"/>
      <c r="L191" s="142"/>
      <c r="M191" s="142"/>
      <c r="N191" s="142"/>
      <c r="O191" s="142"/>
      <c r="P191" s="151" t="e">
        <f t="shared" si="115"/>
        <v>#REF!</v>
      </c>
      <c r="R191" s="190" t="e">
        <f>SUM(F191:H191)</f>
        <v>#REF!</v>
      </c>
      <c r="S191" s="1612"/>
      <c r="T191" s="142">
        <f>SUM(I191:O191)-W191-X191</f>
        <v>0</v>
      </c>
      <c r="U191" s="725"/>
      <c r="V191" s="142"/>
      <c r="W191" s="128"/>
      <c r="X191" s="154"/>
    </row>
    <row r="192" spans="2:24" outlineLevel="1">
      <c r="B192" s="128" t="s">
        <v>7</v>
      </c>
      <c r="C192" s="126" t="s">
        <v>208</v>
      </c>
      <c r="D192" s="128" t="s">
        <v>573</v>
      </c>
      <c r="E192" s="128" t="s">
        <v>0</v>
      </c>
      <c r="F192" s="142" t="e">
        <f>'N_02 Vstupy'!#REF!*1.2</f>
        <v>#REF!</v>
      </c>
      <c r="G192" s="142"/>
      <c r="H192" s="142"/>
      <c r="I192" s="142"/>
      <c r="J192" s="142"/>
      <c r="K192" s="142"/>
      <c r="L192" s="142"/>
      <c r="M192" s="142"/>
      <c r="N192" s="142"/>
      <c r="O192" s="142"/>
      <c r="P192" s="151" t="e">
        <f t="shared" si="115"/>
        <v>#REF!</v>
      </c>
      <c r="R192" s="190" t="e">
        <f>SUM(F192:H192)</f>
        <v>#REF!</v>
      </c>
      <c r="S192" s="1612"/>
      <c r="T192" s="142">
        <f>SUM(I192:O192)-W192-X192</f>
        <v>0</v>
      </c>
      <c r="U192" s="725"/>
      <c r="V192" s="142"/>
      <c r="W192" s="128"/>
      <c r="X192" s="154"/>
    </row>
    <row r="193" spans="2:24" outlineLevel="1">
      <c r="B193" s="128" t="s">
        <v>7</v>
      </c>
      <c r="C193" s="126" t="s">
        <v>208</v>
      </c>
      <c r="D193" s="128" t="s">
        <v>574</v>
      </c>
      <c r="E193" s="128" t="s">
        <v>0</v>
      </c>
      <c r="F193" s="142" t="e">
        <f>'N_02 Vstupy'!#REF!*1.2</f>
        <v>#REF!</v>
      </c>
      <c r="G193" s="142"/>
      <c r="H193" s="142"/>
      <c r="I193" s="142"/>
      <c r="J193" s="142"/>
      <c r="K193" s="142"/>
      <c r="L193" s="142"/>
      <c r="M193" s="142"/>
      <c r="N193" s="142"/>
      <c r="O193" s="142"/>
      <c r="P193" s="151" t="e">
        <f t="shared" si="115"/>
        <v>#REF!</v>
      </c>
      <c r="R193" s="190" t="e">
        <f>SUM(F193:H193)</f>
        <v>#REF!</v>
      </c>
      <c r="S193" s="1612"/>
      <c r="T193" s="142">
        <f>SUM(I193:O193)-W193-X193</f>
        <v>0</v>
      </c>
      <c r="U193" s="725"/>
      <c r="V193" s="142"/>
      <c r="W193" s="128"/>
      <c r="X193" s="154"/>
    </row>
    <row r="194" spans="2:24" outlineLevel="1">
      <c r="B194" s="128" t="s">
        <v>7</v>
      </c>
      <c r="C194" s="126" t="s">
        <v>208</v>
      </c>
      <c r="D194" s="128" t="s">
        <v>721</v>
      </c>
      <c r="E194" s="128" t="s">
        <v>0</v>
      </c>
      <c r="F194" s="142" t="e">
        <f>'N_02 Vstupy'!#REF!*1.2</f>
        <v>#REF!</v>
      </c>
      <c r="G194" s="142"/>
      <c r="H194" s="142"/>
      <c r="I194" s="142"/>
      <c r="J194" s="142"/>
      <c r="K194" s="142"/>
      <c r="L194" s="142"/>
      <c r="M194" s="142"/>
      <c r="N194" s="142"/>
      <c r="O194" s="142"/>
      <c r="P194" s="151"/>
      <c r="R194" s="190"/>
      <c r="S194" s="1612"/>
      <c r="T194" s="142"/>
      <c r="U194" s="725"/>
      <c r="V194" s="142"/>
      <c r="W194" s="128"/>
      <c r="X194" s="154"/>
    </row>
    <row r="195" spans="2:24" outlineLevel="1">
      <c r="B195" s="128" t="s">
        <v>7</v>
      </c>
      <c r="C195" s="126" t="s">
        <v>208</v>
      </c>
      <c r="D195" s="128" t="s">
        <v>913</v>
      </c>
      <c r="E195" s="128" t="s">
        <v>0</v>
      </c>
      <c r="F195" s="142" t="e">
        <f>'N_02 Vstupy'!#REF!*1.2</f>
        <v>#REF!</v>
      </c>
      <c r="G195" s="142"/>
      <c r="H195" s="142"/>
      <c r="I195" s="142"/>
      <c r="J195" s="142"/>
      <c r="K195" s="142"/>
      <c r="L195" s="142"/>
      <c r="M195" s="142"/>
      <c r="N195" s="142"/>
      <c r="O195" s="142"/>
      <c r="P195" s="151" t="e">
        <f t="shared" si="115"/>
        <v>#REF!</v>
      </c>
      <c r="R195" s="126"/>
      <c r="S195" s="1612"/>
      <c r="T195" s="128"/>
      <c r="U195" s="725"/>
      <c r="V195" s="128"/>
      <c r="W195" s="128"/>
      <c r="X195" s="154"/>
    </row>
    <row r="196" spans="2:24" outlineLevel="1">
      <c r="B196" s="128" t="s">
        <v>7</v>
      </c>
      <c r="C196" s="126" t="s">
        <v>208</v>
      </c>
      <c r="D196" s="128" t="s">
        <v>914</v>
      </c>
      <c r="E196" s="128" t="s">
        <v>0</v>
      </c>
      <c r="F196" s="142" t="e">
        <f>'N_02 Vstupy'!#REF!*1.2</f>
        <v>#REF!</v>
      </c>
      <c r="G196" s="142"/>
      <c r="H196" s="142"/>
      <c r="I196" s="142"/>
      <c r="J196" s="142"/>
      <c r="K196" s="142"/>
      <c r="L196" s="142"/>
      <c r="M196" s="142"/>
      <c r="N196" s="142"/>
      <c r="O196" s="142"/>
      <c r="P196" s="151" t="e">
        <f t="shared" si="115"/>
        <v>#REF!</v>
      </c>
      <c r="R196" s="190" t="e">
        <f t="shared" ref="R196:R203" si="121">SUM(F196:H196)</f>
        <v>#REF!</v>
      </c>
      <c r="S196" s="1612"/>
      <c r="T196" s="142">
        <f t="shared" ref="T196:T203" si="122">SUM(I196:O196)-W196-X196</f>
        <v>0</v>
      </c>
      <c r="U196" s="725"/>
      <c r="V196" s="142"/>
      <c r="W196" s="128"/>
      <c r="X196" s="154"/>
    </row>
    <row r="197" spans="2:24" outlineLevel="1">
      <c r="B197" s="138"/>
      <c r="C197" s="136" t="s">
        <v>11</v>
      </c>
      <c r="D197" s="138"/>
      <c r="E197" s="138"/>
      <c r="F197" s="139">
        <f>SUM(F198:F206)</f>
        <v>0</v>
      </c>
      <c r="G197" s="139">
        <f t="shared" ref="G197:O197" si="123">SUM(G198:G206)</f>
        <v>0</v>
      </c>
      <c r="H197" s="139">
        <f t="shared" si="123"/>
        <v>578175</v>
      </c>
      <c r="I197" s="139">
        <f t="shared" si="123"/>
        <v>578175</v>
      </c>
      <c r="J197" s="139">
        <f t="shared" si="123"/>
        <v>578175</v>
      </c>
      <c r="K197" s="139">
        <f t="shared" si="123"/>
        <v>578175</v>
      </c>
      <c r="L197" s="139">
        <f t="shared" si="123"/>
        <v>578175</v>
      </c>
      <c r="M197" s="139">
        <f t="shared" si="123"/>
        <v>578175</v>
      </c>
      <c r="N197" s="139">
        <f t="shared" si="123"/>
        <v>578175</v>
      </c>
      <c r="O197" s="139">
        <f t="shared" si="123"/>
        <v>578175</v>
      </c>
      <c r="P197" s="140">
        <f t="shared" si="115"/>
        <v>4625400</v>
      </c>
      <c r="R197" s="190">
        <f t="shared" si="121"/>
        <v>578175</v>
      </c>
      <c r="S197" s="1612"/>
      <c r="T197" s="142">
        <f t="shared" si="122"/>
        <v>4047225</v>
      </c>
      <c r="U197" s="725"/>
      <c r="V197" s="142"/>
      <c r="W197" s="128"/>
      <c r="X197" s="154"/>
    </row>
    <row r="198" spans="2:24" outlineLevel="1">
      <c r="B198" s="128" t="s">
        <v>5</v>
      </c>
      <c r="C198" s="126" t="s">
        <v>205</v>
      </c>
      <c r="D198" s="128" t="s">
        <v>258</v>
      </c>
      <c r="E198" s="128" t="s">
        <v>0</v>
      </c>
      <c r="F198" s="141"/>
      <c r="G198" s="141"/>
      <c r="H198" s="141"/>
      <c r="I198" s="141"/>
      <c r="J198" s="141"/>
      <c r="K198" s="141"/>
      <c r="L198" s="141"/>
      <c r="M198" s="141"/>
      <c r="N198" s="141"/>
      <c r="O198" s="141"/>
      <c r="P198" s="151">
        <f t="shared" si="115"/>
        <v>0</v>
      </c>
      <c r="R198" s="190">
        <f t="shared" si="121"/>
        <v>0</v>
      </c>
      <c r="S198" s="1612"/>
      <c r="T198" s="142">
        <f t="shared" si="122"/>
        <v>0</v>
      </c>
      <c r="U198" s="725"/>
      <c r="V198" s="142"/>
      <c r="W198" s="128"/>
      <c r="X198" s="154"/>
    </row>
    <row r="199" spans="2:24" outlineLevel="1">
      <c r="B199" s="128" t="s">
        <v>5</v>
      </c>
      <c r="C199" s="126" t="s">
        <v>205</v>
      </c>
      <c r="D199" s="128" t="s">
        <v>259</v>
      </c>
      <c r="E199" s="128" t="s">
        <v>0</v>
      </c>
      <c r="F199" s="141"/>
      <c r="G199" s="141"/>
      <c r="H199" s="141"/>
      <c r="I199" s="141"/>
      <c r="J199" s="141"/>
      <c r="K199" s="141"/>
      <c r="L199" s="141"/>
      <c r="M199" s="141"/>
      <c r="N199" s="141"/>
      <c r="O199" s="141"/>
      <c r="P199" s="151">
        <f t="shared" si="115"/>
        <v>0</v>
      </c>
      <c r="R199" s="190">
        <f t="shared" si="121"/>
        <v>0</v>
      </c>
      <c r="S199" s="1612"/>
      <c r="T199" s="142">
        <f t="shared" si="122"/>
        <v>0</v>
      </c>
      <c r="U199" s="725"/>
      <c r="V199" s="142"/>
      <c r="W199" s="128"/>
      <c r="X199" s="154"/>
    </row>
    <row r="200" spans="2:24" outlineLevel="1">
      <c r="B200" s="128" t="s">
        <v>5</v>
      </c>
      <c r="C200" s="126" t="s">
        <v>205</v>
      </c>
      <c r="D200" s="128" t="s">
        <v>10</v>
      </c>
      <c r="E200" s="128" t="s">
        <v>0</v>
      </c>
      <c r="F200" s="141"/>
      <c r="G200" s="141"/>
      <c r="H200" s="141"/>
      <c r="I200" s="141"/>
      <c r="J200" s="141"/>
      <c r="K200" s="141"/>
      <c r="L200" s="141"/>
      <c r="M200" s="141"/>
      <c r="N200" s="141"/>
      <c r="O200" s="141"/>
      <c r="P200" s="151">
        <f t="shared" si="115"/>
        <v>0</v>
      </c>
      <c r="R200" s="190">
        <f t="shared" si="121"/>
        <v>0</v>
      </c>
      <c r="S200" s="1612"/>
      <c r="T200" s="142">
        <f t="shared" si="122"/>
        <v>0</v>
      </c>
      <c r="U200" s="725"/>
      <c r="V200" s="142"/>
      <c r="W200" s="128"/>
      <c r="X200" s="154"/>
    </row>
    <row r="201" spans="2:24" outlineLevel="1">
      <c r="B201" s="128" t="s">
        <v>5</v>
      </c>
      <c r="C201" s="126" t="s">
        <v>197</v>
      </c>
      <c r="D201" s="128" t="s">
        <v>258</v>
      </c>
      <c r="E201" s="128" t="s">
        <v>0</v>
      </c>
      <c r="F201" s="141"/>
      <c r="G201" s="141"/>
      <c r="H201" s="141"/>
      <c r="I201" s="141"/>
      <c r="J201" s="141"/>
      <c r="K201" s="141"/>
      <c r="L201" s="141"/>
      <c r="M201" s="141"/>
      <c r="N201" s="141"/>
      <c r="O201" s="141"/>
      <c r="P201" s="151">
        <f t="shared" si="115"/>
        <v>0</v>
      </c>
      <c r="R201" s="190">
        <f t="shared" si="121"/>
        <v>0</v>
      </c>
      <c r="S201" s="1612"/>
      <c r="T201" s="142">
        <f t="shared" si="122"/>
        <v>0</v>
      </c>
      <c r="U201" s="725"/>
      <c r="V201" s="142"/>
      <c r="W201" s="128"/>
      <c r="X201" s="154"/>
    </row>
    <row r="202" spans="2:24" outlineLevel="1">
      <c r="B202" s="128" t="s">
        <v>5</v>
      </c>
      <c r="C202" s="126" t="s">
        <v>197</v>
      </c>
      <c r="D202" s="128" t="s">
        <v>259</v>
      </c>
      <c r="E202" s="128" t="s">
        <v>0</v>
      </c>
      <c r="F202" s="141"/>
      <c r="G202" s="141"/>
      <c r="H202" s="141"/>
      <c r="I202" s="141"/>
      <c r="J202" s="141"/>
      <c r="K202" s="141"/>
      <c r="L202" s="141"/>
      <c r="M202" s="141"/>
      <c r="N202" s="141"/>
      <c r="O202" s="141"/>
      <c r="P202" s="151">
        <f t="shared" si="115"/>
        <v>0</v>
      </c>
      <c r="R202" s="190">
        <f t="shared" si="121"/>
        <v>0</v>
      </c>
      <c r="S202" s="1612"/>
      <c r="T202" s="142">
        <f t="shared" si="122"/>
        <v>0</v>
      </c>
      <c r="U202" s="725"/>
      <c r="V202" s="142"/>
      <c r="W202" s="128"/>
      <c r="X202" s="154"/>
    </row>
    <row r="203" spans="2:24" outlineLevel="1">
      <c r="B203" s="128" t="s">
        <v>5</v>
      </c>
      <c r="C203" s="126" t="s">
        <v>8</v>
      </c>
      <c r="D203" s="128" t="s">
        <v>258</v>
      </c>
      <c r="E203" s="128" t="s">
        <v>0</v>
      </c>
      <c r="F203" s="141"/>
      <c r="G203" s="141"/>
      <c r="H203" s="141"/>
      <c r="I203" s="141"/>
      <c r="J203" s="141"/>
      <c r="K203" s="141"/>
      <c r="L203" s="141"/>
      <c r="M203" s="141"/>
      <c r="N203" s="141"/>
      <c r="O203" s="141"/>
      <c r="P203" s="151">
        <f t="shared" si="115"/>
        <v>0</v>
      </c>
      <c r="R203" s="190">
        <f t="shared" si="121"/>
        <v>0</v>
      </c>
      <c r="S203" s="1612"/>
      <c r="T203" s="142">
        <f t="shared" si="122"/>
        <v>0</v>
      </c>
      <c r="U203" s="725"/>
      <c r="V203" s="142"/>
      <c r="W203" s="128"/>
      <c r="X203" s="154"/>
    </row>
    <row r="204" spans="2:24" outlineLevel="1">
      <c r="B204" s="128" t="s">
        <v>5</v>
      </c>
      <c r="C204" s="126" t="s">
        <v>8</v>
      </c>
      <c r="D204" s="128" t="s">
        <v>259</v>
      </c>
      <c r="E204" s="128" t="s">
        <v>0</v>
      </c>
      <c r="F204" s="141"/>
      <c r="G204" s="141"/>
      <c r="H204" s="141"/>
      <c r="I204" s="141"/>
      <c r="J204" s="141"/>
      <c r="K204" s="141"/>
      <c r="L204" s="141"/>
      <c r="M204" s="141"/>
      <c r="N204" s="141"/>
      <c r="O204" s="141"/>
      <c r="P204" s="151">
        <f t="shared" si="115"/>
        <v>0</v>
      </c>
      <c r="R204" s="190">
        <f>SUM(F204,G204,H204/2)</f>
        <v>0</v>
      </c>
      <c r="S204" s="1612"/>
      <c r="T204" s="142">
        <f>SUM(H204/2,I204:O204)</f>
        <v>0</v>
      </c>
      <c r="U204" s="725"/>
      <c r="V204" s="142"/>
      <c r="W204" s="128"/>
      <c r="X204" s="154"/>
    </row>
    <row r="205" spans="2:24" outlineLevel="1">
      <c r="B205" s="128" t="s">
        <v>5</v>
      </c>
      <c r="C205" s="126" t="s">
        <v>208</v>
      </c>
      <c r="D205" s="128" t="s">
        <v>263</v>
      </c>
      <c r="E205" s="128" t="s">
        <v>0</v>
      </c>
      <c r="F205" s="141"/>
      <c r="G205" s="141"/>
      <c r="H205" s="141"/>
      <c r="I205" s="141"/>
      <c r="J205" s="141"/>
      <c r="K205" s="141"/>
      <c r="L205" s="141"/>
      <c r="M205" s="141"/>
      <c r="N205" s="141"/>
      <c r="O205" s="141"/>
      <c r="P205" s="151">
        <f t="shared" si="115"/>
        <v>0</v>
      </c>
      <c r="R205" s="126"/>
      <c r="S205" s="1612"/>
      <c r="T205" s="128"/>
      <c r="U205" s="725"/>
      <c r="V205" s="128"/>
      <c r="W205" s="128"/>
      <c r="X205" s="154"/>
    </row>
    <row r="206" spans="2:24" outlineLevel="1">
      <c r="B206" s="128" t="s">
        <v>5</v>
      </c>
      <c r="C206" s="126" t="s">
        <v>205</v>
      </c>
      <c r="D206" s="128" t="s">
        <v>402</v>
      </c>
      <c r="E206" s="128" t="s">
        <v>0</v>
      </c>
      <c r="F206" s="142">
        <f>'N_02 Vstupy'!$C$68</f>
        <v>0</v>
      </c>
      <c r="G206" s="142">
        <f>'N_02 Vstupy'!$D$68</f>
        <v>0</v>
      </c>
      <c r="H206" s="142">
        <f>'N_02 Vstupy'!E$68</f>
        <v>578175</v>
      </c>
      <c r="I206" s="142">
        <f>'N_02 Vstupy'!$F$68</f>
        <v>578175</v>
      </c>
      <c r="J206" s="142">
        <f>'N_02 Vstupy'!$G$68</f>
        <v>578175</v>
      </c>
      <c r="K206" s="142">
        <f>'N_02 Vstupy'!$H$68</f>
        <v>578175</v>
      </c>
      <c r="L206" s="142">
        <f>'N_02 Vstupy'!$I$68</f>
        <v>578175</v>
      </c>
      <c r="M206" s="142">
        <f>'N_02 Vstupy'!$J$68</f>
        <v>578175</v>
      </c>
      <c r="N206" s="142">
        <f>'N_02 Vstupy'!$K$68</f>
        <v>578175</v>
      </c>
      <c r="O206" s="142">
        <f>'N_02 Vstupy'!$L$68</f>
        <v>578175</v>
      </c>
      <c r="P206" s="140">
        <f t="shared" si="115"/>
        <v>4625400</v>
      </c>
      <c r="R206" s="190">
        <f>SUM(F206,G206,H206/2)</f>
        <v>289087.5</v>
      </c>
      <c r="S206" s="1612"/>
      <c r="T206" s="142">
        <f>SUM(I206:O206)-W206-X206</f>
        <v>4047225</v>
      </c>
      <c r="U206" s="725"/>
      <c r="V206" s="142"/>
      <c r="W206" s="128"/>
      <c r="X206" s="154"/>
    </row>
    <row r="207" spans="2:24" outlineLevel="1">
      <c r="B207" s="138"/>
      <c r="C207" s="136" t="s">
        <v>407</v>
      </c>
      <c r="D207" s="138"/>
      <c r="E207" s="138"/>
      <c r="F207" s="139">
        <f t="shared" ref="F207" si="124">SUM(F208:F208)</f>
        <v>60000</v>
      </c>
      <c r="G207" s="139">
        <f t="shared" ref="G207:O207" si="125">SUM(G208:G208)</f>
        <v>0</v>
      </c>
      <c r="H207" s="139">
        <f t="shared" si="125"/>
        <v>0</v>
      </c>
      <c r="I207" s="139">
        <f t="shared" si="125"/>
        <v>0</v>
      </c>
      <c r="J207" s="139">
        <f t="shared" si="125"/>
        <v>0</v>
      </c>
      <c r="K207" s="139">
        <f t="shared" si="125"/>
        <v>0</v>
      </c>
      <c r="L207" s="139">
        <f t="shared" si="125"/>
        <v>0</v>
      </c>
      <c r="M207" s="139">
        <f t="shared" si="125"/>
        <v>0</v>
      </c>
      <c r="N207" s="139">
        <f t="shared" si="125"/>
        <v>0</v>
      </c>
      <c r="O207" s="139">
        <f t="shared" si="125"/>
        <v>0</v>
      </c>
      <c r="P207" s="151">
        <f t="shared" si="115"/>
        <v>60000</v>
      </c>
      <c r="R207" s="126"/>
      <c r="S207" s="1612"/>
      <c r="T207" s="128"/>
      <c r="U207" s="725"/>
      <c r="V207" s="128"/>
      <c r="W207" s="128"/>
      <c r="X207" s="154"/>
    </row>
    <row r="208" spans="2:24" outlineLevel="1">
      <c r="B208" s="128" t="s">
        <v>5</v>
      </c>
      <c r="C208" s="126" t="s">
        <v>407</v>
      </c>
      <c r="D208" s="128" t="s">
        <v>407</v>
      </c>
      <c r="E208" s="128" t="s">
        <v>0</v>
      </c>
      <c r="F208" s="142">
        <f>'N_02 Vstupy'!E110*1.2</f>
        <v>60000</v>
      </c>
      <c r="G208" s="141"/>
      <c r="H208" s="141"/>
      <c r="I208" s="141"/>
      <c r="J208" s="141"/>
      <c r="K208" s="141"/>
      <c r="L208" s="141"/>
      <c r="M208" s="141"/>
      <c r="N208" s="141"/>
      <c r="O208" s="141"/>
      <c r="P208" s="151">
        <f t="shared" si="115"/>
        <v>60000</v>
      </c>
      <c r="R208" s="190">
        <f>SUM(F208,G208,H208/2)</f>
        <v>60000</v>
      </c>
      <c r="S208" s="1612"/>
      <c r="T208" s="142">
        <f>SUM(H208/2,I208:O208)-W208-X208</f>
        <v>0</v>
      </c>
      <c r="U208" s="725"/>
      <c r="V208" s="142"/>
      <c r="W208" s="128"/>
      <c r="X208" s="154"/>
    </row>
    <row r="209" spans="2:24" outlineLevel="1">
      <c r="B209" s="138"/>
      <c r="C209" s="136" t="s">
        <v>209</v>
      </c>
      <c r="D209" s="138"/>
      <c r="E209" s="138"/>
      <c r="F209" s="139">
        <f t="shared" ref="F209:I209" si="126">SUM(F210:F212)</f>
        <v>564624</v>
      </c>
      <c r="G209" s="139">
        <f t="shared" si="126"/>
        <v>1129248</v>
      </c>
      <c r="H209" s="139">
        <f t="shared" si="126"/>
        <v>1129248</v>
      </c>
      <c r="I209" s="139">
        <f t="shared" si="126"/>
        <v>92352</v>
      </c>
      <c r="J209" s="139">
        <f>SUM(J210:J212)</f>
        <v>92352</v>
      </c>
      <c r="K209" s="139">
        <f t="shared" ref="K209:O209" si="127">SUM(K210:K212)</f>
        <v>46176</v>
      </c>
      <c r="L209" s="139">
        <f t="shared" si="127"/>
        <v>46176</v>
      </c>
      <c r="M209" s="139">
        <f t="shared" si="127"/>
        <v>46176</v>
      </c>
      <c r="N209" s="139">
        <f t="shared" si="127"/>
        <v>46176</v>
      </c>
      <c r="O209" s="139">
        <f t="shared" si="127"/>
        <v>46176</v>
      </c>
      <c r="P209" s="140">
        <f t="shared" si="115"/>
        <v>3238704</v>
      </c>
      <c r="R209" s="190">
        <f>SUM(F209,G209,H209/2)</f>
        <v>2258496</v>
      </c>
      <c r="S209" s="1612"/>
      <c r="T209" s="142">
        <f>SUM(H209/2,I209:O209)-W209-X209</f>
        <v>980208</v>
      </c>
      <c r="U209" s="725"/>
      <c r="V209" s="142"/>
      <c r="W209" s="128"/>
      <c r="X209" s="154"/>
    </row>
    <row r="210" spans="2:24" outlineLevel="1">
      <c r="B210" s="128" t="s">
        <v>5</v>
      </c>
      <c r="C210" s="126" t="s">
        <v>209</v>
      </c>
      <c r="D210" s="128" t="s">
        <v>210</v>
      </c>
      <c r="E210" s="128" t="s">
        <v>0</v>
      </c>
      <c r="F210" s="142">
        <f>'N_02 Vstupy'!$C$54</f>
        <v>69264</v>
      </c>
      <c r="G210" s="142">
        <f>'N_02 Vstupy'!$D$54</f>
        <v>138528</v>
      </c>
      <c r="H210" s="142">
        <f>'N_02 Vstupy'!$E$54</f>
        <v>138528</v>
      </c>
      <c r="I210" s="142">
        <f>'N_02 Vstupy'!$F$54</f>
        <v>92352</v>
      </c>
      <c r="J210" s="142">
        <f>'N_02 Vstupy'!$G$54</f>
        <v>92352</v>
      </c>
      <c r="K210" s="142">
        <f>'N_02 Vstupy'!$H$54</f>
        <v>46176</v>
      </c>
      <c r="L210" s="142">
        <f>'N_02 Vstupy'!$I$54</f>
        <v>46176</v>
      </c>
      <c r="M210" s="142">
        <f>'N_02 Vstupy'!$J$54</f>
        <v>46176</v>
      </c>
      <c r="N210" s="142">
        <f>'N_02 Vstupy'!$K$54</f>
        <v>46176</v>
      </c>
      <c r="O210" s="142">
        <f>'N_02 Vstupy'!$L$54</f>
        <v>46176</v>
      </c>
      <c r="P210" s="151">
        <f t="shared" si="115"/>
        <v>761904</v>
      </c>
      <c r="R210" s="190">
        <f>SUM(F210:H210)</f>
        <v>346320</v>
      </c>
      <c r="S210" s="1612"/>
      <c r="T210" s="142">
        <f>SUM(I210:O210)-W210-X210</f>
        <v>415584</v>
      </c>
      <c r="U210" s="725"/>
      <c r="V210" s="142"/>
      <c r="W210" s="128"/>
      <c r="X210" s="154"/>
    </row>
    <row r="211" spans="2:24" outlineLevel="1">
      <c r="B211" s="147" t="s">
        <v>5</v>
      </c>
      <c r="C211" s="146" t="s">
        <v>209</v>
      </c>
      <c r="D211" s="147" t="s">
        <v>211</v>
      </c>
      <c r="E211" s="147" t="s">
        <v>0</v>
      </c>
      <c r="F211" s="163">
        <f>'N_02 Vstupy'!$D$102</f>
        <v>495360</v>
      </c>
      <c r="G211" s="163">
        <f>'N_02 Vstupy'!$F$102</f>
        <v>990720</v>
      </c>
      <c r="H211" s="163">
        <f>'N_02 Vstupy'!$H$102</f>
        <v>990720</v>
      </c>
      <c r="I211" s="163">
        <f>'N_02 Vstupy'!$J$102</f>
        <v>0</v>
      </c>
      <c r="J211" s="148"/>
      <c r="K211" s="148"/>
      <c r="L211" s="148"/>
      <c r="M211" s="148"/>
      <c r="N211" s="148"/>
      <c r="O211" s="148"/>
      <c r="P211" s="152">
        <f t="shared" si="115"/>
        <v>2476800</v>
      </c>
      <c r="R211" s="126"/>
      <c r="S211" s="1612"/>
      <c r="T211" s="128"/>
      <c r="U211" s="725"/>
      <c r="V211" s="128"/>
      <c r="W211" s="128"/>
      <c r="X211" s="154"/>
    </row>
    <row r="212" spans="2:24" outlineLevel="1">
      <c r="B212" s="144" t="s">
        <v>5</v>
      </c>
      <c r="C212" s="123" t="s">
        <v>209</v>
      </c>
      <c r="D212" s="144" t="s">
        <v>408</v>
      </c>
      <c r="E212" s="144" t="s">
        <v>0</v>
      </c>
      <c r="F212" s="145"/>
      <c r="G212" s="145"/>
      <c r="H212" s="145"/>
      <c r="I212" s="145"/>
      <c r="J212" s="145"/>
      <c r="K212" s="145"/>
      <c r="L212" s="145"/>
      <c r="M212" s="145"/>
      <c r="N212" s="145"/>
      <c r="O212" s="145"/>
      <c r="P212" s="153">
        <f t="shared" si="115"/>
        <v>0</v>
      </c>
      <c r="R212" s="123"/>
      <c r="S212" s="1613"/>
      <c r="T212" s="144"/>
      <c r="U212" s="1622"/>
      <c r="V212" s="144"/>
      <c r="W212" s="144"/>
      <c r="X212" s="155"/>
    </row>
  </sheetData>
  <conditionalFormatting sqref="R37">
    <cfRule type="expression" dxfId="158" priority="1">
      <formula>"SUM(R38;R50)&gt;26500000"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79998168889431442"/>
  </sheetPr>
  <dimension ref="A1:Q200"/>
  <sheetViews>
    <sheetView tabSelected="1" topLeftCell="A145" zoomScale="160" zoomScaleNormal="160" workbookViewId="0">
      <selection activeCell="C150" sqref="C150"/>
    </sheetView>
  </sheetViews>
  <sheetFormatPr defaultColWidth="8.85546875" defaultRowHeight="12"/>
  <cols>
    <col min="1" max="1" width="4.7109375" style="635" customWidth="1"/>
    <col min="2" max="2" width="24.7109375" style="635" customWidth="1"/>
    <col min="3" max="3" width="14.85546875" style="635" bestFit="1" customWidth="1"/>
    <col min="4" max="12" width="14" style="635" customWidth="1"/>
    <col min="13" max="16" width="12.7109375" style="635" customWidth="1"/>
    <col min="17" max="19" width="12.140625" style="635" customWidth="1"/>
    <col min="20" max="20" width="11.28515625" style="635" bestFit="1" customWidth="1"/>
    <col min="21" max="16384" width="8.85546875" style="635"/>
  </cols>
  <sheetData>
    <row r="1" spans="1:14" s="1264" customFormat="1" ht="15.75">
      <c r="A1" s="1263" t="s">
        <v>368</v>
      </c>
    </row>
    <row r="3" spans="1:14">
      <c r="A3" s="1265" t="s">
        <v>369</v>
      </c>
    </row>
    <row r="4" spans="1:14">
      <c r="B4" s="1266" t="s">
        <v>386</v>
      </c>
    </row>
    <row r="5" spans="1:14">
      <c r="B5" s="1267" t="s">
        <v>387</v>
      </c>
      <c r="C5" s="1268">
        <v>0.34949999999999998</v>
      </c>
    </row>
    <row r="6" spans="1:14">
      <c r="B6" s="1269" t="s">
        <v>388</v>
      </c>
      <c r="C6" s="1270">
        <v>0.17</v>
      </c>
    </row>
    <row r="7" spans="1:14">
      <c r="B7" s="1271" t="s">
        <v>394</v>
      </c>
      <c r="C7" s="1272">
        <v>1950</v>
      </c>
      <c r="D7" s="635" t="s">
        <v>395</v>
      </c>
    </row>
    <row r="8" spans="1:14">
      <c r="B8" s="635" t="s">
        <v>1851</v>
      </c>
      <c r="C8" s="1739"/>
      <c r="D8" s="635" t="s">
        <v>1852</v>
      </c>
    </row>
    <row r="9" spans="1:14">
      <c r="B9" s="635" t="s">
        <v>1853</v>
      </c>
      <c r="C9" s="1739">
        <v>1500</v>
      </c>
    </row>
    <row r="10" spans="1:14">
      <c r="B10" s="635" t="s">
        <v>1854</v>
      </c>
      <c r="C10" s="1739">
        <v>1500</v>
      </c>
    </row>
    <row r="11" spans="1:14">
      <c r="B11" s="635" t="s">
        <v>1023</v>
      </c>
      <c r="C11" s="1739">
        <v>250</v>
      </c>
    </row>
    <row r="12" spans="1:14">
      <c r="C12" s="1273"/>
    </row>
    <row r="13" spans="1:14">
      <c r="B13" s="1266" t="s">
        <v>421</v>
      </c>
    </row>
    <row r="14" spans="1:14" s="1274" customFormat="1" ht="24">
      <c r="B14" s="1275" t="s">
        <v>370</v>
      </c>
      <c r="C14" s="1276" t="s">
        <v>371</v>
      </c>
      <c r="D14" s="1276" t="s">
        <v>370</v>
      </c>
      <c r="E14" s="1276" t="s">
        <v>437</v>
      </c>
      <c r="F14" s="1277" t="s">
        <v>389</v>
      </c>
      <c r="G14" s="1277" t="s">
        <v>399</v>
      </c>
      <c r="H14" s="1277" t="s">
        <v>390</v>
      </c>
      <c r="I14" s="1278" t="s">
        <v>409</v>
      </c>
      <c r="J14" s="1277" t="s">
        <v>401</v>
      </c>
      <c r="K14" s="1278" t="s">
        <v>391</v>
      </c>
      <c r="L14" s="1279" t="s">
        <v>372</v>
      </c>
      <c r="M14" s="1280" t="s">
        <v>501</v>
      </c>
      <c r="N14" s="1280" t="s">
        <v>541</v>
      </c>
    </row>
    <row r="15" spans="1:14">
      <c r="B15" s="1281" t="s">
        <v>377</v>
      </c>
      <c r="C15" s="1282" t="s">
        <v>378</v>
      </c>
      <c r="D15" s="1282" t="s">
        <v>557</v>
      </c>
      <c r="E15" s="1282">
        <v>1</v>
      </c>
      <c r="F15" s="1693">
        <v>15</v>
      </c>
      <c r="G15" s="1283">
        <f t="shared" ref="G15:G24" si="0">F15*(1+$C$6)*$C$5</f>
        <v>6.1337249999999983</v>
      </c>
      <c r="H15" s="1283">
        <f t="shared" ref="H15:H24" si="1">ROUND(F15*(1+$C$6)+G15,2)</f>
        <v>23.68</v>
      </c>
      <c r="I15" s="1282">
        <f t="shared" ref="I15:I31" si="2">$C$7</f>
        <v>1950</v>
      </c>
      <c r="J15" s="1284">
        <f>H15*I15</f>
        <v>46176</v>
      </c>
      <c r="K15" s="1284">
        <f t="shared" ref="K15:K24" si="3">IF(C15="hlavná",25,15)</f>
        <v>15</v>
      </c>
      <c r="L15" s="1285"/>
      <c r="M15" s="1286">
        <f>F15*I15/12</f>
        <v>2437.5</v>
      </c>
      <c r="N15" s="1286"/>
    </row>
    <row r="16" spans="1:14">
      <c r="B16" s="1281" t="s">
        <v>382</v>
      </c>
      <c r="C16" s="1282" t="s">
        <v>378</v>
      </c>
      <c r="D16" s="1282" t="s">
        <v>410</v>
      </c>
      <c r="E16" s="1282">
        <v>1</v>
      </c>
      <c r="F16" s="1693">
        <v>15</v>
      </c>
      <c r="G16" s="1283">
        <f t="shared" si="0"/>
        <v>6.1337249999999983</v>
      </c>
      <c r="H16" s="1283">
        <f t="shared" si="1"/>
        <v>23.68</v>
      </c>
      <c r="I16" s="1282">
        <f t="shared" si="2"/>
        <v>1950</v>
      </c>
      <c r="J16" s="1284">
        <f t="shared" ref="J16:J31" si="4">H16*I16</f>
        <v>46176</v>
      </c>
      <c r="K16" s="1284">
        <f t="shared" si="3"/>
        <v>15</v>
      </c>
      <c r="L16" s="1285"/>
      <c r="M16" s="1286">
        <f>F16*I16/12</f>
        <v>2437.5</v>
      </c>
      <c r="N16" s="1286">
        <v>1600</v>
      </c>
    </row>
    <row r="17" spans="2:14">
      <c r="B17" s="1281" t="s">
        <v>380</v>
      </c>
      <c r="C17" s="1282" t="s">
        <v>378</v>
      </c>
      <c r="D17" s="1282" t="s">
        <v>410</v>
      </c>
      <c r="E17" s="1282">
        <v>1</v>
      </c>
      <c r="F17" s="1693">
        <v>15</v>
      </c>
      <c r="G17" s="1283">
        <f t="shared" si="0"/>
        <v>6.1337249999999983</v>
      </c>
      <c r="H17" s="1283">
        <f t="shared" si="1"/>
        <v>23.68</v>
      </c>
      <c r="I17" s="1282">
        <f t="shared" si="2"/>
        <v>1950</v>
      </c>
      <c r="J17" s="1284">
        <f t="shared" si="4"/>
        <v>46176</v>
      </c>
      <c r="K17" s="1284">
        <f t="shared" si="3"/>
        <v>15</v>
      </c>
      <c r="L17" s="1285"/>
      <c r="M17" s="1286">
        <f t="shared" ref="M17:M31" si="5">F17*I17/12</f>
        <v>2437.5</v>
      </c>
      <c r="N17" s="1286">
        <v>1800</v>
      </c>
    </row>
    <row r="18" spans="2:14">
      <c r="B18" s="1281" t="s">
        <v>381</v>
      </c>
      <c r="C18" s="1282" t="s">
        <v>378</v>
      </c>
      <c r="D18" s="1282" t="s">
        <v>410</v>
      </c>
      <c r="E18" s="1282">
        <v>1</v>
      </c>
      <c r="F18" s="1693">
        <v>15</v>
      </c>
      <c r="G18" s="1283">
        <f t="shared" si="0"/>
        <v>6.1337249999999983</v>
      </c>
      <c r="H18" s="1283">
        <f t="shared" si="1"/>
        <v>23.68</v>
      </c>
      <c r="I18" s="1282">
        <f t="shared" si="2"/>
        <v>1950</v>
      </c>
      <c r="J18" s="1284">
        <f t="shared" si="4"/>
        <v>46176</v>
      </c>
      <c r="K18" s="1284">
        <f t="shared" si="3"/>
        <v>15</v>
      </c>
      <c r="L18" s="1285"/>
      <c r="M18" s="1286">
        <f t="shared" si="5"/>
        <v>2437.5</v>
      </c>
      <c r="N18" s="1286">
        <v>1800</v>
      </c>
    </row>
    <row r="19" spans="2:14">
      <c r="B19" s="1281" t="s">
        <v>385</v>
      </c>
      <c r="C19" s="1282" t="s">
        <v>378</v>
      </c>
      <c r="D19" s="1282" t="s">
        <v>410</v>
      </c>
      <c r="E19" s="1282">
        <v>1</v>
      </c>
      <c r="F19" s="1693">
        <v>15</v>
      </c>
      <c r="G19" s="1283">
        <f t="shared" si="0"/>
        <v>6.1337249999999983</v>
      </c>
      <c r="H19" s="1283">
        <f t="shared" si="1"/>
        <v>23.68</v>
      </c>
      <c r="I19" s="1282">
        <f t="shared" si="2"/>
        <v>1950</v>
      </c>
      <c r="J19" s="1284">
        <f t="shared" si="4"/>
        <v>46176</v>
      </c>
      <c r="K19" s="1284">
        <f t="shared" si="3"/>
        <v>15</v>
      </c>
      <c r="L19" s="1285"/>
      <c r="M19" s="1286">
        <f t="shared" si="5"/>
        <v>2437.5</v>
      </c>
      <c r="N19" s="1286">
        <v>1800</v>
      </c>
    </row>
    <row r="20" spans="2:14">
      <c r="B20" s="1281" t="s">
        <v>383</v>
      </c>
      <c r="C20" s="1282" t="s">
        <v>373</v>
      </c>
      <c r="D20" s="1282" t="s">
        <v>410</v>
      </c>
      <c r="E20" s="1282">
        <v>3</v>
      </c>
      <c r="F20" s="1693">
        <v>25</v>
      </c>
      <c r="G20" s="1283">
        <f t="shared" si="0"/>
        <v>10.222875</v>
      </c>
      <c r="H20" s="1283">
        <f t="shared" si="1"/>
        <v>39.47</v>
      </c>
      <c r="I20" s="1282">
        <f t="shared" si="2"/>
        <v>1950</v>
      </c>
      <c r="J20" s="1284">
        <f t="shared" si="4"/>
        <v>76966.5</v>
      </c>
      <c r="K20" s="1284">
        <f t="shared" si="3"/>
        <v>25</v>
      </c>
      <c r="L20" s="1285"/>
      <c r="M20" s="1286">
        <f t="shared" si="5"/>
        <v>4062.5</v>
      </c>
      <c r="N20" s="1286">
        <v>1800</v>
      </c>
    </row>
    <row r="21" spans="2:14">
      <c r="B21" s="1281" t="s">
        <v>374</v>
      </c>
      <c r="C21" s="1282" t="s">
        <v>373</v>
      </c>
      <c r="D21" s="1282" t="s">
        <v>410</v>
      </c>
      <c r="E21" s="1282">
        <v>3</v>
      </c>
      <c r="F21" s="1693">
        <v>25</v>
      </c>
      <c r="G21" s="1283">
        <f t="shared" si="0"/>
        <v>10.222875</v>
      </c>
      <c r="H21" s="1283">
        <f t="shared" si="1"/>
        <v>39.47</v>
      </c>
      <c r="I21" s="1282">
        <f t="shared" si="2"/>
        <v>1950</v>
      </c>
      <c r="J21" s="1284">
        <f t="shared" si="4"/>
        <v>76966.5</v>
      </c>
      <c r="K21" s="1284">
        <f t="shared" si="3"/>
        <v>25</v>
      </c>
      <c r="L21" s="1285"/>
      <c r="M21" s="1286">
        <f t="shared" si="5"/>
        <v>4062.5</v>
      </c>
      <c r="N21" s="1286">
        <v>1800</v>
      </c>
    </row>
    <row r="22" spans="2:14">
      <c r="B22" s="1281" t="s">
        <v>376</v>
      </c>
      <c r="C22" s="1282" t="s">
        <v>373</v>
      </c>
      <c r="D22" s="1282" t="s">
        <v>410</v>
      </c>
      <c r="E22" s="1282">
        <v>2</v>
      </c>
      <c r="F22" s="1693">
        <v>25</v>
      </c>
      <c r="G22" s="1283">
        <f t="shared" si="0"/>
        <v>10.222875</v>
      </c>
      <c r="H22" s="1283">
        <f t="shared" si="1"/>
        <v>39.47</v>
      </c>
      <c r="I22" s="1282">
        <f t="shared" si="2"/>
        <v>1950</v>
      </c>
      <c r="J22" s="1284">
        <f t="shared" si="4"/>
        <v>76966.5</v>
      </c>
      <c r="K22" s="1284">
        <f t="shared" si="3"/>
        <v>25</v>
      </c>
      <c r="L22" s="1285"/>
      <c r="M22" s="1286">
        <f t="shared" si="5"/>
        <v>4062.5</v>
      </c>
      <c r="N22" s="1286">
        <v>2500</v>
      </c>
    </row>
    <row r="23" spans="2:14">
      <c r="B23" s="1281" t="s">
        <v>375</v>
      </c>
      <c r="C23" s="1282" t="s">
        <v>373</v>
      </c>
      <c r="D23" s="1282" t="s">
        <v>410</v>
      </c>
      <c r="E23" s="1282">
        <v>2</v>
      </c>
      <c r="F23" s="1693">
        <v>25</v>
      </c>
      <c r="G23" s="1283">
        <f t="shared" si="0"/>
        <v>10.222875</v>
      </c>
      <c r="H23" s="1283">
        <f t="shared" si="1"/>
        <v>39.47</v>
      </c>
      <c r="I23" s="1282">
        <f t="shared" si="2"/>
        <v>1950</v>
      </c>
      <c r="J23" s="1284">
        <f t="shared" si="4"/>
        <v>76966.5</v>
      </c>
      <c r="K23" s="1284">
        <f t="shared" si="3"/>
        <v>25</v>
      </c>
      <c r="L23" s="1285"/>
      <c r="M23" s="1286">
        <f t="shared" si="5"/>
        <v>4062.5</v>
      </c>
      <c r="N23" s="1286">
        <v>1800</v>
      </c>
    </row>
    <row r="24" spans="2:14">
      <c r="B24" s="1281" t="s">
        <v>380</v>
      </c>
      <c r="C24" s="1282" t="s">
        <v>373</v>
      </c>
      <c r="D24" s="1282" t="s">
        <v>410</v>
      </c>
      <c r="E24" s="1282">
        <v>1</v>
      </c>
      <c r="F24" s="1693">
        <v>25</v>
      </c>
      <c r="G24" s="1283">
        <f t="shared" si="0"/>
        <v>10.222875</v>
      </c>
      <c r="H24" s="1283">
        <f t="shared" si="1"/>
        <v>39.47</v>
      </c>
      <c r="I24" s="1282">
        <f t="shared" si="2"/>
        <v>1950</v>
      </c>
      <c r="J24" s="1284">
        <f t="shared" si="4"/>
        <v>76966.5</v>
      </c>
      <c r="K24" s="1284">
        <f t="shared" si="3"/>
        <v>25</v>
      </c>
      <c r="L24" s="1285"/>
      <c r="M24" s="1286">
        <f t="shared" si="5"/>
        <v>4062.5</v>
      </c>
      <c r="N24" s="1286"/>
    </row>
    <row r="25" spans="2:14">
      <c r="B25" s="1281" t="s">
        <v>379</v>
      </c>
      <c r="C25" s="1282" t="s">
        <v>373</v>
      </c>
      <c r="D25" s="1282" t="s">
        <v>410</v>
      </c>
      <c r="E25" s="1282"/>
      <c r="F25" s="1693">
        <v>25</v>
      </c>
      <c r="G25" s="1283">
        <f t="shared" ref="G25" si="6">F25*(1+$C$6)*$C$5</f>
        <v>10.222875</v>
      </c>
      <c r="H25" s="1283">
        <f t="shared" ref="H25" si="7">ROUND(F25*(1+$C$6)+G25,2)</f>
        <v>39.47</v>
      </c>
      <c r="I25" s="1282">
        <f t="shared" si="2"/>
        <v>1950</v>
      </c>
      <c r="J25" s="1284">
        <f t="shared" si="4"/>
        <v>76966.5</v>
      </c>
      <c r="K25" s="1284">
        <v>25</v>
      </c>
      <c r="L25" s="1285"/>
      <c r="M25" s="1286">
        <f t="shared" si="5"/>
        <v>4062.5</v>
      </c>
      <c r="N25" s="1286"/>
    </row>
    <row r="26" spans="2:14" ht="24.75" thickBot="1">
      <c r="B26" s="1287" t="s">
        <v>384</v>
      </c>
      <c r="C26" s="1288" t="s">
        <v>373</v>
      </c>
      <c r="D26" s="1288" t="s">
        <v>410</v>
      </c>
      <c r="E26" s="1288">
        <v>1</v>
      </c>
      <c r="F26" s="1694">
        <v>25</v>
      </c>
      <c r="G26" s="1289">
        <f>F26*(1+$C$6)*$C$5</f>
        <v>10.222875</v>
      </c>
      <c r="H26" s="1289">
        <f>ROUND(F26*(1+$C$6)+G26,2)</f>
        <v>39.47</v>
      </c>
      <c r="I26" s="1288">
        <f t="shared" si="2"/>
        <v>1950</v>
      </c>
      <c r="J26" s="1290">
        <f t="shared" si="4"/>
        <v>76966.5</v>
      </c>
      <c r="K26" s="1290">
        <f>IF(C26="hlavná",25,15)</f>
        <v>25</v>
      </c>
      <c r="L26" s="1291"/>
      <c r="M26" s="1286">
        <f t="shared" si="5"/>
        <v>4062.5</v>
      </c>
      <c r="N26" s="1286">
        <v>1800</v>
      </c>
    </row>
    <row r="27" spans="2:14">
      <c r="B27" s="1292" t="s">
        <v>392</v>
      </c>
      <c r="C27" s="1293" t="s">
        <v>373</v>
      </c>
      <c r="D27" s="1293" t="s">
        <v>410</v>
      </c>
      <c r="E27" s="1293">
        <v>3</v>
      </c>
      <c r="F27" s="1695">
        <f>9.9*2</f>
        <v>19.8</v>
      </c>
      <c r="G27" s="1294">
        <f>F27*(1+$C$6)*$C$5</f>
        <v>8.0965170000000004</v>
      </c>
      <c r="H27" s="1294">
        <f>ROUND(F27*(1+$C$6)+G27,2)</f>
        <v>31.26</v>
      </c>
      <c r="I27" s="1293">
        <f t="shared" si="2"/>
        <v>1950</v>
      </c>
      <c r="J27" s="1295">
        <f t="shared" si="4"/>
        <v>60957</v>
      </c>
      <c r="K27" s="1295">
        <f>IF(C27="hlavná",25,15)</f>
        <v>25</v>
      </c>
      <c r="L27" s="1296"/>
      <c r="M27" s="1286">
        <f t="shared" si="5"/>
        <v>3217.5</v>
      </c>
      <c r="N27" s="1286"/>
    </row>
    <row r="28" spans="2:14">
      <c r="B28" s="1281" t="s">
        <v>393</v>
      </c>
      <c r="C28" s="1282" t="s">
        <v>373</v>
      </c>
      <c r="D28" s="1282" t="s">
        <v>410</v>
      </c>
      <c r="E28" s="1282">
        <v>1</v>
      </c>
      <c r="F28" s="1693">
        <f>11.1*2</f>
        <v>22.2</v>
      </c>
      <c r="G28" s="1283">
        <f>F28*(1+$C$6)*$C$5</f>
        <v>9.0779129999999988</v>
      </c>
      <c r="H28" s="1283">
        <f>ROUND(F28*(1+$C$6)+G28,2)</f>
        <v>35.049999999999997</v>
      </c>
      <c r="I28" s="1282">
        <f t="shared" si="2"/>
        <v>1950</v>
      </c>
      <c r="J28" s="1284">
        <f t="shared" si="4"/>
        <v>68347.5</v>
      </c>
      <c r="K28" s="1284">
        <f>IF(C28="hlavná",25,15)</f>
        <v>25</v>
      </c>
      <c r="L28" s="1285"/>
      <c r="M28" s="1286">
        <f t="shared" si="5"/>
        <v>3607.5</v>
      </c>
      <c r="N28" s="1286"/>
    </row>
    <row r="29" spans="2:14">
      <c r="B29" s="1287" t="s">
        <v>396</v>
      </c>
      <c r="C29" s="1282" t="s">
        <v>373</v>
      </c>
      <c r="D29" s="1282" t="s">
        <v>410</v>
      </c>
      <c r="E29" s="1282">
        <v>2</v>
      </c>
      <c r="F29" s="1693">
        <f>11.1*2</f>
        <v>22.2</v>
      </c>
      <c r="G29" s="1283">
        <f t="shared" ref="G29:G31" si="8">F29*(1+$C$6)*$C$5</f>
        <v>9.0779129999999988</v>
      </c>
      <c r="H29" s="1283">
        <f t="shared" ref="H29:H30" si="9">ROUND(F29*(1+$C$6)+G29,2)</f>
        <v>35.049999999999997</v>
      </c>
      <c r="I29" s="1282">
        <f t="shared" si="2"/>
        <v>1950</v>
      </c>
      <c r="J29" s="1284">
        <f t="shared" si="4"/>
        <v>68347.5</v>
      </c>
      <c r="K29" s="1284">
        <f>IF(C29="hlavná",25,15)</f>
        <v>25</v>
      </c>
      <c r="L29" s="1291"/>
      <c r="M29" s="1286">
        <f t="shared" si="5"/>
        <v>3607.5</v>
      </c>
      <c r="N29" s="1286"/>
    </row>
    <row r="30" spans="2:14">
      <c r="B30" s="1287" t="s">
        <v>397</v>
      </c>
      <c r="C30" s="1282" t="s">
        <v>373</v>
      </c>
      <c r="D30" s="1282" t="s">
        <v>410</v>
      </c>
      <c r="E30" s="1282"/>
      <c r="F30" s="1693">
        <f>11.1*2</f>
        <v>22.2</v>
      </c>
      <c r="G30" s="1283">
        <f t="shared" si="8"/>
        <v>9.0779129999999988</v>
      </c>
      <c r="H30" s="1283">
        <f t="shared" si="9"/>
        <v>35.049999999999997</v>
      </c>
      <c r="I30" s="1282">
        <f t="shared" si="2"/>
        <v>1950</v>
      </c>
      <c r="J30" s="1284">
        <f t="shared" si="4"/>
        <v>68347.5</v>
      </c>
      <c r="K30" s="1284">
        <f>IF(C30="hlavná",25,15)</f>
        <v>25</v>
      </c>
      <c r="L30" s="1291"/>
      <c r="M30" s="1286">
        <f t="shared" si="5"/>
        <v>3607.5</v>
      </c>
      <c r="N30" s="1286"/>
    </row>
    <row r="31" spans="2:14">
      <c r="B31" s="1297" t="s">
        <v>398</v>
      </c>
      <c r="C31" s="1298" t="s">
        <v>373</v>
      </c>
      <c r="D31" s="1298" t="s">
        <v>410</v>
      </c>
      <c r="E31" s="1298"/>
      <c r="F31" s="1696">
        <f>11.1</f>
        <v>11.1</v>
      </c>
      <c r="G31" s="1299">
        <f t="shared" si="8"/>
        <v>4.5389564999999994</v>
      </c>
      <c r="H31" s="1299">
        <f t="shared" ref="H31" si="10">ROUND(F31*(1+$C$6)+G31,2)</f>
        <v>17.53</v>
      </c>
      <c r="I31" s="1298">
        <f t="shared" si="2"/>
        <v>1950</v>
      </c>
      <c r="J31" s="1300">
        <f t="shared" si="4"/>
        <v>34183.5</v>
      </c>
      <c r="K31" s="1300">
        <v>25</v>
      </c>
      <c r="L31" s="1301"/>
      <c r="M31" s="1286">
        <f t="shared" si="5"/>
        <v>1803.75</v>
      </c>
      <c r="N31" s="1286"/>
    </row>
    <row r="32" spans="2:14">
      <c r="B32" s="1302"/>
      <c r="C32" s="1302"/>
      <c r="D32" s="1302"/>
      <c r="E32" s="1303"/>
      <c r="F32" s="1304"/>
      <c r="G32" s="1305"/>
      <c r="H32" s="1305"/>
      <c r="I32" s="1302"/>
      <c r="J32" s="1306"/>
      <c r="K32" s="1306"/>
      <c r="L32" s="1307"/>
      <c r="M32" s="1286"/>
    </row>
    <row r="33" spans="2:13">
      <c r="B33" s="157" t="s">
        <v>422</v>
      </c>
      <c r="C33" s="1302"/>
      <c r="D33" s="1302"/>
      <c r="E33" s="1303"/>
      <c r="F33" s="1304"/>
      <c r="G33" s="1305"/>
      <c r="H33" s="1305"/>
      <c r="I33" s="1302"/>
      <c r="J33" s="1306"/>
      <c r="K33" s="1306"/>
      <c r="L33" s="1307"/>
      <c r="M33" s="1286"/>
    </row>
    <row r="34" spans="2:13" s="1274" customFormat="1">
      <c r="B34" s="1275" t="s">
        <v>370</v>
      </c>
      <c r="C34" s="1308">
        <v>2024</v>
      </c>
      <c r="D34" s="1309">
        <v>2025</v>
      </c>
      <c r="E34" s="1309">
        <v>2026</v>
      </c>
      <c r="F34" s="1309">
        <v>2027</v>
      </c>
      <c r="G34" s="1308">
        <v>2028</v>
      </c>
      <c r="H34" s="1309">
        <v>2029</v>
      </c>
      <c r="I34" s="1309">
        <v>2030</v>
      </c>
      <c r="J34" s="1309">
        <v>2031</v>
      </c>
      <c r="K34" s="1308">
        <v>2032</v>
      </c>
      <c r="L34" s="1310">
        <v>2033</v>
      </c>
    </row>
    <row r="35" spans="2:13">
      <c r="B35" s="1281" t="s">
        <v>377</v>
      </c>
      <c r="C35" s="1311">
        <v>0.5</v>
      </c>
      <c r="D35" s="1311">
        <v>1</v>
      </c>
      <c r="E35" s="1311">
        <v>1</v>
      </c>
      <c r="F35" s="1311">
        <v>0.5</v>
      </c>
      <c r="G35" s="1312">
        <v>0.5</v>
      </c>
      <c r="H35" s="1312">
        <v>0.5</v>
      </c>
      <c r="I35" s="1311">
        <v>0.5</v>
      </c>
      <c r="J35" s="1311">
        <v>0.5</v>
      </c>
      <c r="K35" s="1311">
        <v>0.5</v>
      </c>
      <c r="L35" s="1313">
        <v>0.5</v>
      </c>
    </row>
    <row r="36" spans="2:13">
      <c r="B36" s="1281" t="s">
        <v>382</v>
      </c>
      <c r="C36" s="1311">
        <v>0.5</v>
      </c>
      <c r="D36" s="1311">
        <v>1</v>
      </c>
      <c r="E36" s="1311">
        <v>1</v>
      </c>
      <c r="F36" s="1311">
        <v>0.5</v>
      </c>
      <c r="G36" s="1312">
        <v>0.5</v>
      </c>
      <c r="H36" s="1312">
        <v>0.5</v>
      </c>
      <c r="I36" s="1311">
        <v>0.5</v>
      </c>
      <c r="J36" s="1311">
        <v>0.5</v>
      </c>
      <c r="K36" s="1311">
        <v>0.5</v>
      </c>
      <c r="L36" s="1313">
        <v>0.5</v>
      </c>
    </row>
    <row r="37" spans="2:13">
      <c r="B37" s="1281" t="s">
        <v>380</v>
      </c>
      <c r="C37" s="1311">
        <v>0.5</v>
      </c>
      <c r="D37" s="1311">
        <v>1</v>
      </c>
      <c r="E37" s="1311">
        <v>0.5</v>
      </c>
      <c r="F37" s="1311"/>
      <c r="G37" s="1312"/>
      <c r="H37" s="1312"/>
      <c r="I37" s="1311"/>
      <c r="J37" s="1311"/>
      <c r="K37" s="1311"/>
      <c r="L37" s="1313"/>
    </row>
    <row r="38" spans="2:13">
      <c r="B38" s="1281" t="s">
        <v>381</v>
      </c>
      <c r="C38" s="1311">
        <v>0.5</v>
      </c>
      <c r="D38" s="1311">
        <v>1</v>
      </c>
      <c r="E38" s="1311">
        <v>0.5</v>
      </c>
      <c r="F38" s="1311"/>
      <c r="G38" s="1312"/>
      <c r="H38" s="1312"/>
      <c r="I38" s="1311"/>
      <c r="J38" s="1311"/>
      <c r="K38" s="1311"/>
      <c r="L38" s="1313"/>
    </row>
    <row r="39" spans="2:13">
      <c r="B39" s="1281" t="s">
        <v>385</v>
      </c>
      <c r="C39" s="1311">
        <v>0.5</v>
      </c>
      <c r="D39" s="1311">
        <v>1</v>
      </c>
      <c r="E39" s="1311">
        <v>1</v>
      </c>
      <c r="F39" s="1311">
        <v>1</v>
      </c>
      <c r="G39" s="1312">
        <v>1</v>
      </c>
      <c r="H39" s="1312"/>
      <c r="I39" s="1311"/>
      <c r="J39" s="1311"/>
      <c r="K39" s="1311"/>
      <c r="L39" s="1313"/>
    </row>
    <row r="40" spans="2:13">
      <c r="B40" s="1281" t="s">
        <v>383</v>
      </c>
      <c r="C40" s="1311">
        <v>0.5</v>
      </c>
      <c r="D40" s="1311">
        <v>2</v>
      </c>
      <c r="E40" s="1311">
        <v>1</v>
      </c>
      <c r="F40" s="1311"/>
      <c r="G40" s="1312"/>
      <c r="H40" s="1312"/>
      <c r="I40" s="1311"/>
      <c r="J40" s="1311"/>
      <c r="K40" s="1311"/>
      <c r="L40" s="1313"/>
    </row>
    <row r="41" spans="2:13">
      <c r="B41" s="1281" t="s">
        <v>374</v>
      </c>
      <c r="C41" s="1311">
        <v>0.5</v>
      </c>
      <c r="D41" s="1311">
        <v>2</v>
      </c>
      <c r="E41" s="1311">
        <v>1</v>
      </c>
      <c r="F41" s="1311"/>
      <c r="G41" s="1312"/>
      <c r="H41" s="1312"/>
      <c r="I41" s="1311"/>
      <c r="J41" s="1311"/>
      <c r="K41" s="1311"/>
      <c r="L41" s="1313"/>
    </row>
    <row r="42" spans="2:13">
      <c r="B42" s="1281" t="s">
        <v>376</v>
      </c>
      <c r="C42" s="1311">
        <v>1</v>
      </c>
      <c r="D42" s="1311">
        <v>2</v>
      </c>
      <c r="E42" s="1311">
        <v>1</v>
      </c>
      <c r="F42" s="1311"/>
      <c r="G42" s="1312"/>
      <c r="H42" s="1312"/>
      <c r="I42" s="1311"/>
      <c r="J42" s="1311"/>
      <c r="K42" s="1311"/>
      <c r="L42" s="1313"/>
    </row>
    <row r="43" spans="2:13">
      <c r="B43" s="1281" t="s">
        <v>375</v>
      </c>
      <c r="C43" s="1311">
        <v>0.5</v>
      </c>
      <c r="D43" s="1311">
        <v>1</v>
      </c>
      <c r="E43" s="1311">
        <v>0.5</v>
      </c>
      <c r="F43" s="1311"/>
      <c r="G43" s="1312"/>
      <c r="H43" s="1312"/>
      <c r="I43" s="1311"/>
      <c r="J43" s="1311"/>
      <c r="K43" s="1311"/>
      <c r="L43" s="1313"/>
    </row>
    <row r="44" spans="2:13">
      <c r="B44" s="1281" t="s">
        <v>380</v>
      </c>
      <c r="C44" s="1311">
        <v>0.5</v>
      </c>
      <c r="D44" s="1311">
        <v>1</v>
      </c>
      <c r="E44" s="1311">
        <v>0.5</v>
      </c>
      <c r="F44" s="1311"/>
      <c r="G44" s="1312"/>
      <c r="H44" s="1312"/>
      <c r="I44" s="1311"/>
      <c r="J44" s="1311"/>
      <c r="K44" s="1311"/>
      <c r="L44" s="1313"/>
    </row>
    <row r="45" spans="2:13">
      <c r="B45" s="1281" t="s">
        <v>379</v>
      </c>
      <c r="C45" s="1311">
        <v>0</v>
      </c>
      <c r="D45" s="1311">
        <v>0</v>
      </c>
      <c r="E45" s="1311">
        <v>0</v>
      </c>
      <c r="F45" s="1311"/>
      <c r="G45" s="1312"/>
      <c r="H45" s="1312"/>
      <c r="I45" s="1311"/>
      <c r="J45" s="1311"/>
      <c r="K45" s="1311"/>
      <c r="L45" s="1313"/>
    </row>
    <row r="46" spans="2:13" ht="24">
      <c r="B46" s="1281" t="s">
        <v>384</v>
      </c>
      <c r="C46" s="1703">
        <v>0.3</v>
      </c>
      <c r="D46" s="1703">
        <v>0.3</v>
      </c>
      <c r="E46" s="1703">
        <v>0.3</v>
      </c>
      <c r="F46" s="1311"/>
      <c r="G46" s="1312"/>
      <c r="H46" s="1312"/>
      <c r="I46" s="1311"/>
      <c r="J46" s="1311"/>
      <c r="K46" s="1311"/>
      <c r="L46" s="1313"/>
    </row>
    <row r="47" spans="2:13">
      <c r="B47" s="1281" t="s">
        <v>392</v>
      </c>
      <c r="C47" s="1311"/>
      <c r="D47" s="1311"/>
      <c r="E47" s="1312">
        <v>5</v>
      </c>
      <c r="F47" s="1311">
        <v>5</v>
      </c>
      <c r="G47" s="1311">
        <v>5</v>
      </c>
      <c r="H47" s="1312">
        <v>5</v>
      </c>
      <c r="I47" s="1311">
        <v>5</v>
      </c>
      <c r="J47" s="1311">
        <v>5</v>
      </c>
      <c r="K47" s="1311">
        <v>5</v>
      </c>
      <c r="L47" s="1313">
        <v>5</v>
      </c>
    </row>
    <row r="48" spans="2:13">
      <c r="B48" s="1281" t="s">
        <v>393</v>
      </c>
      <c r="C48" s="1311"/>
      <c r="D48" s="1311"/>
      <c r="E48" s="1312">
        <v>2</v>
      </c>
      <c r="F48" s="1311">
        <v>2</v>
      </c>
      <c r="G48" s="1311">
        <v>2</v>
      </c>
      <c r="H48" s="1312">
        <v>2</v>
      </c>
      <c r="I48" s="1311">
        <v>2</v>
      </c>
      <c r="J48" s="1311">
        <v>2</v>
      </c>
      <c r="K48" s="1311">
        <v>2</v>
      </c>
      <c r="L48" s="1313">
        <v>2</v>
      </c>
    </row>
    <row r="49" spans="2:15">
      <c r="B49" s="1281" t="s">
        <v>396</v>
      </c>
      <c r="C49" s="1311"/>
      <c r="D49" s="1311"/>
      <c r="E49" s="1311">
        <v>2</v>
      </c>
      <c r="F49" s="1312">
        <v>2</v>
      </c>
      <c r="G49" s="1312">
        <v>2</v>
      </c>
      <c r="H49" s="1312">
        <v>2</v>
      </c>
      <c r="I49" s="1311">
        <v>2</v>
      </c>
      <c r="J49" s="1311">
        <v>2</v>
      </c>
      <c r="K49" s="1311">
        <v>2</v>
      </c>
      <c r="L49" s="1313">
        <v>2</v>
      </c>
    </row>
    <row r="50" spans="2:15">
      <c r="B50" s="1281" t="s">
        <v>397</v>
      </c>
      <c r="C50" s="1311"/>
      <c r="D50" s="1311"/>
      <c r="E50" s="1311">
        <v>0</v>
      </c>
      <c r="F50" s="1311">
        <v>0</v>
      </c>
      <c r="G50" s="1311">
        <v>0</v>
      </c>
      <c r="H50" s="1311">
        <v>0</v>
      </c>
      <c r="I50" s="1311">
        <v>0</v>
      </c>
      <c r="J50" s="1311">
        <v>0</v>
      </c>
      <c r="K50" s="1311">
        <v>0</v>
      </c>
      <c r="L50" s="1313">
        <v>0</v>
      </c>
    </row>
    <row r="51" spans="2:15">
      <c r="B51" s="1297" t="s">
        <v>398</v>
      </c>
      <c r="C51" s="1314"/>
      <c r="D51" s="1314"/>
      <c r="E51" s="1314">
        <v>0</v>
      </c>
      <c r="F51" s="1314">
        <v>0</v>
      </c>
      <c r="G51" s="1315">
        <v>0</v>
      </c>
      <c r="H51" s="1315">
        <v>0</v>
      </c>
      <c r="I51" s="1314">
        <v>0</v>
      </c>
      <c r="J51" s="1314">
        <v>0</v>
      </c>
      <c r="K51" s="1314">
        <v>0</v>
      </c>
      <c r="L51" s="1316">
        <v>0</v>
      </c>
    </row>
    <row r="52" spans="2:15" ht="12.75" thickBot="1">
      <c r="B52" s="1302"/>
      <c r="C52" s="1302"/>
      <c r="D52" s="1303"/>
      <c r="E52" s="1304"/>
      <c r="F52" s="1305"/>
      <c r="G52" s="1305"/>
      <c r="H52" s="1302"/>
      <c r="I52" s="1306"/>
      <c r="J52" s="1306"/>
      <c r="K52" s="1307"/>
    </row>
    <row r="53" spans="2:15" s="1274" customFormat="1">
      <c r="B53" s="1317" t="s">
        <v>370</v>
      </c>
      <c r="C53" s="1318">
        <v>2024</v>
      </c>
      <c r="D53" s="1319">
        <v>2025</v>
      </c>
      <c r="E53" s="1319">
        <v>2026</v>
      </c>
      <c r="F53" s="1319">
        <v>2027</v>
      </c>
      <c r="G53" s="1320">
        <v>2028</v>
      </c>
      <c r="H53" s="1319">
        <v>2029</v>
      </c>
      <c r="I53" s="1319">
        <v>2030</v>
      </c>
      <c r="J53" s="1319">
        <v>2031</v>
      </c>
      <c r="K53" s="1320">
        <v>2032</v>
      </c>
      <c r="L53" s="1321">
        <v>2033</v>
      </c>
      <c r="M53" s="1322" t="s">
        <v>203</v>
      </c>
    </row>
    <row r="54" spans="2:15" s="1274" customFormat="1">
      <c r="B54" s="209" t="s">
        <v>406</v>
      </c>
      <c r="C54" s="210">
        <f>SUM(C55:C57)</f>
        <v>69264</v>
      </c>
      <c r="D54" s="211">
        <f t="shared" ref="D54:L54" si="11">SUM(D55:D57)</f>
        <v>138528</v>
      </c>
      <c r="E54" s="211">
        <f t="shared" si="11"/>
        <v>138528</v>
      </c>
      <c r="F54" s="211">
        <f t="shared" si="11"/>
        <v>92352</v>
      </c>
      <c r="G54" s="211">
        <f t="shared" si="11"/>
        <v>92352</v>
      </c>
      <c r="H54" s="211">
        <f t="shared" si="11"/>
        <v>46176</v>
      </c>
      <c r="I54" s="211">
        <f t="shared" si="11"/>
        <v>46176</v>
      </c>
      <c r="J54" s="211">
        <f t="shared" si="11"/>
        <v>46176</v>
      </c>
      <c r="K54" s="211">
        <f t="shared" si="11"/>
        <v>46176</v>
      </c>
      <c r="L54" s="212">
        <f t="shared" si="11"/>
        <v>46176</v>
      </c>
      <c r="M54" s="1692">
        <f>SUM(C54:L54)</f>
        <v>761904</v>
      </c>
      <c r="O54" s="1330"/>
    </row>
    <row r="55" spans="2:15">
      <c r="B55" s="1324" t="s">
        <v>377</v>
      </c>
      <c r="C55" s="1325">
        <f t="shared" ref="C55:L55" si="12">$J$15*C35</f>
        <v>23088</v>
      </c>
      <c r="D55" s="1326">
        <f t="shared" si="12"/>
        <v>46176</v>
      </c>
      <c r="E55" s="1326">
        <f t="shared" si="12"/>
        <v>46176</v>
      </c>
      <c r="F55" s="1327">
        <f t="shared" si="12"/>
        <v>23088</v>
      </c>
      <c r="G55" s="1327">
        <f t="shared" si="12"/>
        <v>23088</v>
      </c>
      <c r="H55" s="1326">
        <f t="shared" si="12"/>
        <v>23088</v>
      </c>
      <c r="I55" s="1326">
        <f t="shared" si="12"/>
        <v>23088</v>
      </c>
      <c r="J55" s="1326">
        <f t="shared" si="12"/>
        <v>23088</v>
      </c>
      <c r="K55" s="1328">
        <f t="shared" si="12"/>
        <v>23088</v>
      </c>
      <c r="L55" s="1329">
        <f t="shared" si="12"/>
        <v>23088</v>
      </c>
      <c r="M55" s="1330">
        <f t="shared" ref="M55:M83" si="13">SUM(C55:L55)</f>
        <v>277056</v>
      </c>
    </row>
    <row r="56" spans="2:15">
      <c r="B56" s="1331" t="s">
        <v>382</v>
      </c>
      <c r="C56" s="1332">
        <f t="shared" ref="C56:L56" si="14">$J$16*C36</f>
        <v>23088</v>
      </c>
      <c r="D56" s="1333">
        <f t="shared" si="14"/>
        <v>46176</v>
      </c>
      <c r="E56" s="1333">
        <f t="shared" si="14"/>
        <v>46176</v>
      </c>
      <c r="F56" s="1334">
        <f t="shared" si="14"/>
        <v>23088</v>
      </c>
      <c r="G56" s="1334">
        <f t="shared" si="14"/>
        <v>23088</v>
      </c>
      <c r="H56" s="1333">
        <f t="shared" si="14"/>
        <v>23088</v>
      </c>
      <c r="I56" s="1333">
        <f t="shared" si="14"/>
        <v>23088</v>
      </c>
      <c r="J56" s="1333">
        <f t="shared" si="14"/>
        <v>23088</v>
      </c>
      <c r="K56" s="1335">
        <f t="shared" si="14"/>
        <v>23088</v>
      </c>
      <c r="L56" s="1336">
        <f t="shared" si="14"/>
        <v>23088</v>
      </c>
      <c r="M56" s="1330">
        <f t="shared" si="13"/>
        <v>277056</v>
      </c>
    </row>
    <row r="57" spans="2:15">
      <c r="B57" s="1324" t="s">
        <v>405</v>
      </c>
      <c r="C57" s="1325">
        <f t="shared" ref="C57:L57" si="15">$J$19*C39</f>
        <v>23088</v>
      </c>
      <c r="D57" s="1326">
        <f t="shared" si="15"/>
        <v>46176</v>
      </c>
      <c r="E57" s="1326">
        <f t="shared" si="15"/>
        <v>46176</v>
      </c>
      <c r="F57" s="1326">
        <f t="shared" si="15"/>
        <v>46176</v>
      </c>
      <c r="G57" s="1326">
        <f t="shared" si="15"/>
        <v>46176</v>
      </c>
      <c r="H57" s="1326">
        <f t="shared" si="15"/>
        <v>0</v>
      </c>
      <c r="I57" s="1326">
        <f t="shared" si="15"/>
        <v>0</v>
      </c>
      <c r="J57" s="1326">
        <f t="shared" si="15"/>
        <v>0</v>
      </c>
      <c r="K57" s="1328">
        <f t="shared" si="15"/>
        <v>0</v>
      </c>
      <c r="L57" s="1329">
        <f t="shared" si="15"/>
        <v>0</v>
      </c>
      <c r="M57" s="1330">
        <f t="shared" si="13"/>
        <v>207792</v>
      </c>
    </row>
    <row r="58" spans="2:15" s="1266" customFormat="1">
      <c r="B58" s="129" t="s">
        <v>403</v>
      </c>
      <c r="C58" s="130">
        <f t="shared" ref="C58:L58" si="16">SUM(C59:C67)</f>
        <v>300165.45</v>
      </c>
      <c r="D58" s="131">
        <f t="shared" si="16"/>
        <v>731173.95</v>
      </c>
      <c r="E58" s="131">
        <f t="shared" si="16"/>
        <v>377131.95</v>
      </c>
      <c r="F58" s="132">
        <f t="shared" si="16"/>
        <v>0</v>
      </c>
      <c r="G58" s="132">
        <f t="shared" si="16"/>
        <v>0</v>
      </c>
      <c r="H58" s="131">
        <f t="shared" si="16"/>
        <v>0</v>
      </c>
      <c r="I58" s="131">
        <f t="shared" si="16"/>
        <v>0</v>
      </c>
      <c r="J58" s="131">
        <f t="shared" si="16"/>
        <v>0</v>
      </c>
      <c r="K58" s="133">
        <f t="shared" si="16"/>
        <v>0</v>
      </c>
      <c r="L58" s="1337">
        <f t="shared" si="16"/>
        <v>0</v>
      </c>
      <c r="M58" s="1692">
        <f>SUM(C58:L58)</f>
        <v>1408471.3499999999</v>
      </c>
      <c r="N58" s="635"/>
      <c r="O58" s="1330"/>
    </row>
    <row r="59" spans="2:15">
      <c r="B59" s="1324" t="s">
        <v>380</v>
      </c>
      <c r="C59" s="1325">
        <f t="shared" ref="C59:L59" si="17">$J$17*C37</f>
        <v>23088</v>
      </c>
      <c r="D59" s="1326">
        <f t="shared" si="17"/>
        <v>46176</v>
      </c>
      <c r="E59" s="1326">
        <f t="shared" si="17"/>
        <v>23088</v>
      </c>
      <c r="F59" s="1327">
        <f t="shared" si="17"/>
        <v>0</v>
      </c>
      <c r="G59" s="1327">
        <f t="shared" si="17"/>
        <v>0</v>
      </c>
      <c r="H59" s="1326">
        <f t="shared" si="17"/>
        <v>0</v>
      </c>
      <c r="I59" s="1326">
        <f t="shared" si="17"/>
        <v>0</v>
      </c>
      <c r="J59" s="1326">
        <f t="shared" si="17"/>
        <v>0</v>
      </c>
      <c r="K59" s="1328">
        <f t="shared" si="17"/>
        <v>0</v>
      </c>
      <c r="L59" s="1329">
        <f t="shared" si="17"/>
        <v>0</v>
      </c>
      <c r="M59" s="1330">
        <f t="shared" si="13"/>
        <v>92352</v>
      </c>
    </row>
    <row r="60" spans="2:15">
      <c r="B60" s="1324" t="s">
        <v>381</v>
      </c>
      <c r="C60" s="1325">
        <f t="shared" ref="C60:L60" si="18">$J$18*C38</f>
        <v>23088</v>
      </c>
      <c r="D60" s="1326">
        <f t="shared" si="18"/>
        <v>46176</v>
      </c>
      <c r="E60" s="1326">
        <f t="shared" si="18"/>
        <v>23088</v>
      </c>
      <c r="F60" s="1327">
        <f t="shared" si="18"/>
        <v>0</v>
      </c>
      <c r="G60" s="1327">
        <f t="shared" si="18"/>
        <v>0</v>
      </c>
      <c r="H60" s="1326">
        <f t="shared" si="18"/>
        <v>0</v>
      </c>
      <c r="I60" s="1326">
        <f t="shared" si="18"/>
        <v>0</v>
      </c>
      <c r="J60" s="1326">
        <f t="shared" si="18"/>
        <v>0</v>
      </c>
      <c r="K60" s="1328">
        <f t="shared" si="18"/>
        <v>0</v>
      </c>
      <c r="L60" s="1329">
        <f t="shared" si="18"/>
        <v>0</v>
      </c>
      <c r="M60" s="1330">
        <f t="shared" si="13"/>
        <v>92352</v>
      </c>
      <c r="O60" s="1800"/>
    </row>
    <row r="61" spans="2:15">
      <c r="B61" s="1324" t="s">
        <v>383</v>
      </c>
      <c r="C61" s="1325">
        <f t="shared" ref="C61:L61" si="19">$J$20*C40</f>
        <v>38483.25</v>
      </c>
      <c r="D61" s="1326">
        <f t="shared" si="19"/>
        <v>153933</v>
      </c>
      <c r="E61" s="1326">
        <f t="shared" si="19"/>
        <v>76966.5</v>
      </c>
      <c r="F61" s="1327">
        <f t="shared" si="19"/>
        <v>0</v>
      </c>
      <c r="G61" s="1327">
        <f t="shared" si="19"/>
        <v>0</v>
      </c>
      <c r="H61" s="1326">
        <f t="shared" si="19"/>
        <v>0</v>
      </c>
      <c r="I61" s="1326">
        <f t="shared" si="19"/>
        <v>0</v>
      </c>
      <c r="J61" s="1326">
        <f t="shared" si="19"/>
        <v>0</v>
      </c>
      <c r="K61" s="1328">
        <f t="shared" si="19"/>
        <v>0</v>
      </c>
      <c r="L61" s="1329">
        <f t="shared" si="19"/>
        <v>0</v>
      </c>
      <c r="M61" s="1330">
        <f t="shared" si="13"/>
        <v>269382.75</v>
      </c>
    </row>
    <row r="62" spans="2:15">
      <c r="B62" s="1324" t="s">
        <v>374</v>
      </c>
      <c r="C62" s="1325">
        <f t="shared" ref="C62:L62" si="20">$J$21*C41</f>
        <v>38483.25</v>
      </c>
      <c r="D62" s="1326">
        <f t="shared" si="20"/>
        <v>153933</v>
      </c>
      <c r="E62" s="1326">
        <f t="shared" si="20"/>
        <v>76966.5</v>
      </c>
      <c r="F62" s="1327">
        <f t="shared" si="20"/>
        <v>0</v>
      </c>
      <c r="G62" s="1327">
        <f t="shared" si="20"/>
        <v>0</v>
      </c>
      <c r="H62" s="1326">
        <f t="shared" si="20"/>
        <v>0</v>
      </c>
      <c r="I62" s="1326">
        <f t="shared" si="20"/>
        <v>0</v>
      </c>
      <c r="J62" s="1326">
        <f t="shared" si="20"/>
        <v>0</v>
      </c>
      <c r="K62" s="1328">
        <f t="shared" si="20"/>
        <v>0</v>
      </c>
      <c r="L62" s="1329">
        <f t="shared" si="20"/>
        <v>0</v>
      </c>
      <c r="M62" s="1330">
        <f t="shared" si="13"/>
        <v>269382.75</v>
      </c>
      <c r="O62" s="1801"/>
    </row>
    <row r="63" spans="2:15">
      <c r="B63" s="1324" t="s">
        <v>376</v>
      </c>
      <c r="C63" s="1325">
        <f t="shared" ref="C63:L63" si="21">$J$22*C42</f>
        <v>76966.5</v>
      </c>
      <c r="D63" s="1326">
        <f t="shared" si="21"/>
        <v>153933</v>
      </c>
      <c r="E63" s="1326">
        <f t="shared" si="21"/>
        <v>76966.5</v>
      </c>
      <c r="F63" s="1327">
        <f t="shared" si="21"/>
        <v>0</v>
      </c>
      <c r="G63" s="1327">
        <f t="shared" si="21"/>
        <v>0</v>
      </c>
      <c r="H63" s="1326">
        <f t="shared" si="21"/>
        <v>0</v>
      </c>
      <c r="I63" s="1326">
        <f t="shared" si="21"/>
        <v>0</v>
      </c>
      <c r="J63" s="1326">
        <f t="shared" si="21"/>
        <v>0</v>
      </c>
      <c r="K63" s="1328">
        <f t="shared" si="21"/>
        <v>0</v>
      </c>
      <c r="L63" s="1329">
        <f t="shared" si="21"/>
        <v>0</v>
      </c>
      <c r="M63" s="1330">
        <f t="shared" si="13"/>
        <v>307866</v>
      </c>
    </row>
    <row r="64" spans="2:15">
      <c r="B64" s="1324" t="s">
        <v>375</v>
      </c>
      <c r="C64" s="1325">
        <f t="shared" ref="C64:L64" si="22">$J$23*C43</f>
        <v>38483.25</v>
      </c>
      <c r="D64" s="1326">
        <f t="shared" si="22"/>
        <v>76966.5</v>
      </c>
      <c r="E64" s="1326">
        <f t="shared" si="22"/>
        <v>38483.25</v>
      </c>
      <c r="F64" s="1327">
        <f t="shared" si="22"/>
        <v>0</v>
      </c>
      <c r="G64" s="1327">
        <f t="shared" si="22"/>
        <v>0</v>
      </c>
      <c r="H64" s="1326">
        <f t="shared" si="22"/>
        <v>0</v>
      </c>
      <c r="I64" s="1326">
        <f t="shared" si="22"/>
        <v>0</v>
      </c>
      <c r="J64" s="1326">
        <f t="shared" si="22"/>
        <v>0</v>
      </c>
      <c r="K64" s="1328">
        <f t="shared" si="22"/>
        <v>0</v>
      </c>
      <c r="L64" s="1329">
        <f t="shared" si="22"/>
        <v>0</v>
      </c>
      <c r="M64" s="1330">
        <f t="shared" si="13"/>
        <v>153933</v>
      </c>
    </row>
    <row r="65" spans="2:15">
      <c r="B65" s="1324" t="s">
        <v>380</v>
      </c>
      <c r="C65" s="1325">
        <f t="shared" ref="C65:L65" si="23">$J$24*C44</f>
        <v>38483.25</v>
      </c>
      <c r="D65" s="1326">
        <f t="shared" si="23"/>
        <v>76966.5</v>
      </c>
      <c r="E65" s="1326">
        <f t="shared" si="23"/>
        <v>38483.25</v>
      </c>
      <c r="F65" s="1327">
        <f t="shared" si="23"/>
        <v>0</v>
      </c>
      <c r="G65" s="1327">
        <f t="shared" si="23"/>
        <v>0</v>
      </c>
      <c r="H65" s="1326">
        <f t="shared" si="23"/>
        <v>0</v>
      </c>
      <c r="I65" s="1326">
        <f t="shared" si="23"/>
        <v>0</v>
      </c>
      <c r="J65" s="1326">
        <f t="shared" si="23"/>
        <v>0</v>
      </c>
      <c r="K65" s="1328">
        <f t="shared" si="23"/>
        <v>0</v>
      </c>
      <c r="L65" s="1329">
        <f t="shared" si="23"/>
        <v>0</v>
      </c>
      <c r="M65" s="1330">
        <f t="shared" si="13"/>
        <v>153933</v>
      </c>
    </row>
    <row r="66" spans="2:15">
      <c r="B66" s="1324" t="s">
        <v>379</v>
      </c>
      <c r="C66" s="1325">
        <f t="shared" ref="C66:L66" si="24">$J$25*C45</f>
        <v>0</v>
      </c>
      <c r="D66" s="1326">
        <f t="shared" si="24"/>
        <v>0</v>
      </c>
      <c r="E66" s="1326">
        <f t="shared" si="24"/>
        <v>0</v>
      </c>
      <c r="F66" s="1327">
        <f t="shared" si="24"/>
        <v>0</v>
      </c>
      <c r="G66" s="1327">
        <f t="shared" si="24"/>
        <v>0</v>
      </c>
      <c r="H66" s="1326">
        <f t="shared" si="24"/>
        <v>0</v>
      </c>
      <c r="I66" s="1326">
        <f t="shared" si="24"/>
        <v>0</v>
      </c>
      <c r="J66" s="1326">
        <f t="shared" si="24"/>
        <v>0</v>
      </c>
      <c r="K66" s="1328">
        <f t="shared" si="24"/>
        <v>0</v>
      </c>
      <c r="L66" s="1329">
        <f t="shared" si="24"/>
        <v>0</v>
      </c>
      <c r="M66" s="1330">
        <f t="shared" si="13"/>
        <v>0</v>
      </c>
    </row>
    <row r="67" spans="2:15" ht="24">
      <c r="B67" s="1331" t="s">
        <v>384</v>
      </c>
      <c r="C67" s="1332">
        <f t="shared" ref="C67:L67" si="25">$J$26*C46</f>
        <v>23089.95</v>
      </c>
      <c r="D67" s="1333">
        <f t="shared" si="25"/>
        <v>23089.95</v>
      </c>
      <c r="E67" s="1333">
        <f t="shared" si="25"/>
        <v>23089.95</v>
      </c>
      <c r="F67" s="1334">
        <f t="shared" si="25"/>
        <v>0</v>
      </c>
      <c r="G67" s="1334">
        <f t="shared" si="25"/>
        <v>0</v>
      </c>
      <c r="H67" s="1333">
        <f t="shared" si="25"/>
        <v>0</v>
      </c>
      <c r="I67" s="1333">
        <f t="shared" si="25"/>
        <v>0</v>
      </c>
      <c r="J67" s="1333">
        <f t="shared" si="25"/>
        <v>0</v>
      </c>
      <c r="K67" s="1334">
        <f t="shared" si="25"/>
        <v>0</v>
      </c>
      <c r="L67" s="1338">
        <f t="shared" si="25"/>
        <v>0</v>
      </c>
      <c r="M67" s="1330">
        <f t="shared" si="13"/>
        <v>69269.850000000006</v>
      </c>
    </row>
    <row r="68" spans="2:15" s="1266" customFormat="1">
      <c r="B68" s="129" t="s">
        <v>11</v>
      </c>
      <c r="C68" s="130">
        <f>SUM(C69:C73)</f>
        <v>0</v>
      </c>
      <c r="D68" s="131">
        <f t="shared" ref="D68:L68" si="26">SUM(D69:D73)</f>
        <v>0</v>
      </c>
      <c r="E68" s="131">
        <f t="shared" si="26"/>
        <v>578175</v>
      </c>
      <c r="F68" s="132">
        <f t="shared" si="26"/>
        <v>578175</v>
      </c>
      <c r="G68" s="132">
        <f t="shared" si="26"/>
        <v>578175</v>
      </c>
      <c r="H68" s="131">
        <f t="shared" si="26"/>
        <v>578175</v>
      </c>
      <c r="I68" s="131">
        <f t="shared" si="26"/>
        <v>578175</v>
      </c>
      <c r="J68" s="131">
        <f t="shared" si="26"/>
        <v>578175</v>
      </c>
      <c r="K68" s="133">
        <f t="shared" si="26"/>
        <v>578175</v>
      </c>
      <c r="L68" s="1337">
        <f t="shared" si="26"/>
        <v>578175</v>
      </c>
      <c r="M68" s="1323">
        <f t="shared" si="13"/>
        <v>4625400</v>
      </c>
    </row>
    <row r="69" spans="2:15">
      <c r="B69" s="1324" t="s">
        <v>392</v>
      </c>
      <c r="C69" s="1325">
        <f t="shared" ref="C69:L69" si="27">$J$27*C47</f>
        <v>0</v>
      </c>
      <c r="D69" s="1326">
        <f t="shared" si="27"/>
        <v>0</v>
      </c>
      <c r="E69" s="1327">
        <f t="shared" si="27"/>
        <v>304785</v>
      </c>
      <c r="F69" s="1327">
        <f t="shared" si="27"/>
        <v>304785</v>
      </c>
      <c r="G69" s="1327">
        <f t="shared" si="27"/>
        <v>304785</v>
      </c>
      <c r="H69" s="1326">
        <f t="shared" si="27"/>
        <v>304785</v>
      </c>
      <c r="I69" s="1326">
        <f t="shared" si="27"/>
        <v>304785</v>
      </c>
      <c r="J69" s="1326">
        <f t="shared" si="27"/>
        <v>304785</v>
      </c>
      <c r="K69" s="1328">
        <f t="shared" si="27"/>
        <v>304785</v>
      </c>
      <c r="L69" s="1329">
        <f t="shared" si="27"/>
        <v>304785</v>
      </c>
      <c r="M69" s="1330">
        <f t="shared" si="13"/>
        <v>2438280</v>
      </c>
    </row>
    <row r="70" spans="2:15">
      <c r="B70" s="1324" t="s">
        <v>393</v>
      </c>
      <c r="C70" s="1325">
        <f t="shared" ref="C70:L70" si="28">$J$28*C48</f>
        <v>0</v>
      </c>
      <c r="D70" s="1326">
        <f t="shared" si="28"/>
        <v>0</v>
      </c>
      <c r="E70" s="1327">
        <f t="shared" si="28"/>
        <v>136695</v>
      </c>
      <c r="F70" s="1327">
        <f t="shared" si="28"/>
        <v>136695</v>
      </c>
      <c r="G70" s="1327">
        <f t="shared" si="28"/>
        <v>136695</v>
      </c>
      <c r="H70" s="1326">
        <f t="shared" si="28"/>
        <v>136695</v>
      </c>
      <c r="I70" s="1326">
        <f t="shared" si="28"/>
        <v>136695</v>
      </c>
      <c r="J70" s="1326">
        <f t="shared" si="28"/>
        <v>136695</v>
      </c>
      <c r="K70" s="1328">
        <f t="shared" si="28"/>
        <v>136695</v>
      </c>
      <c r="L70" s="1329">
        <f t="shared" si="28"/>
        <v>136695</v>
      </c>
      <c r="M70" s="1330">
        <f t="shared" si="13"/>
        <v>1093560</v>
      </c>
    </row>
    <row r="71" spans="2:15">
      <c r="B71" s="1324" t="s">
        <v>396</v>
      </c>
      <c r="C71" s="1325">
        <f t="shared" ref="C71:L71" si="29">$J$29*C49</f>
        <v>0</v>
      </c>
      <c r="D71" s="1326">
        <f t="shared" si="29"/>
        <v>0</v>
      </c>
      <c r="E71" s="1327">
        <f t="shared" si="29"/>
        <v>136695</v>
      </c>
      <c r="F71" s="1327">
        <f t="shared" si="29"/>
        <v>136695</v>
      </c>
      <c r="G71" s="1327">
        <f t="shared" si="29"/>
        <v>136695</v>
      </c>
      <c r="H71" s="1326">
        <f t="shared" si="29"/>
        <v>136695</v>
      </c>
      <c r="I71" s="1326">
        <f t="shared" si="29"/>
        <v>136695</v>
      </c>
      <c r="J71" s="1326">
        <f t="shared" si="29"/>
        <v>136695</v>
      </c>
      <c r="K71" s="1328">
        <f t="shared" si="29"/>
        <v>136695</v>
      </c>
      <c r="L71" s="1329">
        <f t="shared" si="29"/>
        <v>136695</v>
      </c>
      <c r="M71" s="1330">
        <f t="shared" si="13"/>
        <v>1093560</v>
      </c>
    </row>
    <row r="72" spans="2:15">
      <c r="B72" s="1324" t="s">
        <v>397</v>
      </c>
      <c r="C72" s="1325">
        <f t="shared" ref="C72:L72" si="30">$J$30*C50</f>
        <v>0</v>
      </c>
      <c r="D72" s="1326">
        <f t="shared" si="30"/>
        <v>0</v>
      </c>
      <c r="E72" s="1327">
        <f t="shared" si="30"/>
        <v>0</v>
      </c>
      <c r="F72" s="1327">
        <f t="shared" si="30"/>
        <v>0</v>
      </c>
      <c r="G72" s="1327">
        <f t="shared" si="30"/>
        <v>0</v>
      </c>
      <c r="H72" s="1326">
        <f t="shared" si="30"/>
        <v>0</v>
      </c>
      <c r="I72" s="1326">
        <f t="shared" si="30"/>
        <v>0</v>
      </c>
      <c r="J72" s="1326">
        <f t="shared" si="30"/>
        <v>0</v>
      </c>
      <c r="K72" s="1328">
        <f t="shared" si="30"/>
        <v>0</v>
      </c>
      <c r="L72" s="1329">
        <f t="shared" si="30"/>
        <v>0</v>
      </c>
      <c r="M72" s="1330">
        <f t="shared" si="13"/>
        <v>0</v>
      </c>
    </row>
    <row r="73" spans="2:15" ht="12.75" thickBot="1">
      <c r="B73" s="1339" t="s">
        <v>398</v>
      </c>
      <c r="C73" s="1340">
        <f t="shared" ref="C73:L73" si="31">$J$31*C51</f>
        <v>0</v>
      </c>
      <c r="D73" s="1341">
        <f t="shared" si="31"/>
        <v>0</v>
      </c>
      <c r="E73" s="1341">
        <f t="shared" si="31"/>
        <v>0</v>
      </c>
      <c r="F73" s="1342">
        <f t="shared" si="31"/>
        <v>0</v>
      </c>
      <c r="G73" s="1342">
        <f t="shared" si="31"/>
        <v>0</v>
      </c>
      <c r="H73" s="1341">
        <f t="shared" si="31"/>
        <v>0</v>
      </c>
      <c r="I73" s="1341">
        <f t="shared" si="31"/>
        <v>0</v>
      </c>
      <c r="J73" s="1341">
        <f t="shared" si="31"/>
        <v>0</v>
      </c>
      <c r="K73" s="1343">
        <f t="shared" si="31"/>
        <v>0</v>
      </c>
      <c r="L73" s="1344">
        <f t="shared" si="31"/>
        <v>0</v>
      </c>
      <c r="M73" s="1330">
        <f t="shared" si="13"/>
        <v>0</v>
      </c>
    </row>
    <row r="74" spans="2:15" s="1266" customFormat="1">
      <c r="B74" s="129" t="s">
        <v>1851</v>
      </c>
      <c r="C74" s="130">
        <f>SUM(C79:C81)</f>
        <v>21750</v>
      </c>
      <c r="D74" s="130">
        <f t="shared" ref="D74:L74" si="32">SUM(D79:D81)</f>
        <v>49875</v>
      </c>
      <c r="E74" s="130">
        <f t="shared" si="32"/>
        <v>64875</v>
      </c>
      <c r="F74" s="130">
        <f t="shared" si="32"/>
        <v>41250</v>
      </c>
      <c r="G74" s="130">
        <f t="shared" si="32"/>
        <v>41250</v>
      </c>
      <c r="H74" s="130">
        <f t="shared" si="32"/>
        <v>37500</v>
      </c>
      <c r="I74" s="130">
        <f t="shared" si="32"/>
        <v>37500</v>
      </c>
      <c r="J74" s="130">
        <f t="shared" si="32"/>
        <v>37500</v>
      </c>
      <c r="K74" s="130">
        <f t="shared" si="32"/>
        <v>37500</v>
      </c>
      <c r="L74" s="130">
        <f t="shared" si="32"/>
        <v>37500</v>
      </c>
      <c r="M74" s="1323">
        <f t="shared" ref="M74:M81" si="33">SUM(C74:L74)</f>
        <v>406500</v>
      </c>
      <c r="N74" s="1747">
        <f>M74/(M54+M58)</f>
        <v>0.18729479211971334</v>
      </c>
      <c r="O74" s="1346">
        <f>M74*1.2</f>
        <v>487800</v>
      </c>
    </row>
    <row r="75" spans="2:15">
      <c r="B75" s="1744" t="s">
        <v>1857</v>
      </c>
      <c r="C75" s="1745">
        <f t="shared" ref="C75:L75" si="34">SUM(C35:C51)</f>
        <v>5.8</v>
      </c>
      <c r="D75" s="1745">
        <f t="shared" si="34"/>
        <v>13.3</v>
      </c>
      <c r="E75" s="1745">
        <f t="shared" si="34"/>
        <v>17.3</v>
      </c>
      <c r="F75" s="1745">
        <f t="shared" si="34"/>
        <v>11</v>
      </c>
      <c r="G75" s="1745">
        <f t="shared" si="34"/>
        <v>11</v>
      </c>
      <c r="H75" s="1745">
        <f t="shared" si="34"/>
        <v>10</v>
      </c>
      <c r="I75" s="1745">
        <f t="shared" si="34"/>
        <v>10</v>
      </c>
      <c r="J75" s="1745">
        <f t="shared" si="34"/>
        <v>10</v>
      </c>
      <c r="K75" s="1745">
        <f t="shared" si="34"/>
        <v>10</v>
      </c>
      <c r="L75" s="1745">
        <f t="shared" si="34"/>
        <v>10</v>
      </c>
      <c r="M75" s="1330"/>
    </row>
    <row r="76" spans="2:15">
      <c r="B76" s="1744" t="s">
        <v>1856</v>
      </c>
      <c r="C76" s="1745">
        <f>SUM(E15:E26)</f>
        <v>17</v>
      </c>
      <c r="D76" s="1746">
        <f>SUM(E15:E26)</f>
        <v>17</v>
      </c>
      <c r="E76" s="1746">
        <f>SUM(E15:E26)+SUM(E27:E31)</f>
        <v>23</v>
      </c>
      <c r="F76" s="1746">
        <f>SUM($E$15:$E$16)+SUM($E$27:$E$31)</f>
        <v>8</v>
      </c>
      <c r="G76" s="1746">
        <f t="shared" ref="G76:L76" si="35">SUM($E$15:$E$16)+SUM($E$27:$E$31)</f>
        <v>8</v>
      </c>
      <c r="H76" s="1746">
        <f t="shared" si="35"/>
        <v>8</v>
      </c>
      <c r="I76" s="1746">
        <f t="shared" si="35"/>
        <v>8</v>
      </c>
      <c r="J76" s="1746">
        <f t="shared" si="35"/>
        <v>8</v>
      </c>
      <c r="K76" s="1746">
        <f t="shared" si="35"/>
        <v>8</v>
      </c>
      <c r="L76" s="1746">
        <f t="shared" si="35"/>
        <v>8</v>
      </c>
      <c r="M76" s="1330"/>
    </row>
    <row r="77" spans="2:15">
      <c r="B77" s="1744" t="s">
        <v>1861</v>
      </c>
      <c r="C77" s="1745">
        <f>C75</f>
        <v>5.8</v>
      </c>
      <c r="D77" s="1745">
        <f t="shared" ref="D77:L77" si="36">D75</f>
        <v>13.3</v>
      </c>
      <c r="E77" s="1745">
        <f t="shared" si="36"/>
        <v>17.3</v>
      </c>
      <c r="F77" s="1745">
        <f t="shared" si="36"/>
        <v>11</v>
      </c>
      <c r="G77" s="1745">
        <f t="shared" si="36"/>
        <v>11</v>
      </c>
      <c r="H77" s="1745">
        <f t="shared" si="36"/>
        <v>10</v>
      </c>
      <c r="I77" s="1745">
        <f t="shared" si="36"/>
        <v>10</v>
      </c>
      <c r="J77" s="1745">
        <f t="shared" si="36"/>
        <v>10</v>
      </c>
      <c r="K77" s="1745">
        <f t="shared" si="36"/>
        <v>10</v>
      </c>
      <c r="L77" s="1745">
        <f t="shared" si="36"/>
        <v>10</v>
      </c>
      <c r="M77" s="1330"/>
    </row>
    <row r="78" spans="2:15">
      <c r="B78" s="1324" t="s">
        <v>1858</v>
      </c>
      <c r="C78" s="1745">
        <f>C75*3</f>
        <v>17.399999999999999</v>
      </c>
      <c r="D78" s="1745">
        <f t="shared" ref="D78:L78" si="37">D75*3</f>
        <v>39.900000000000006</v>
      </c>
      <c r="E78" s="1745">
        <f t="shared" si="37"/>
        <v>51.900000000000006</v>
      </c>
      <c r="F78" s="1745">
        <f t="shared" si="37"/>
        <v>33</v>
      </c>
      <c r="G78" s="1745">
        <f t="shared" si="37"/>
        <v>33</v>
      </c>
      <c r="H78" s="1745">
        <f t="shared" si="37"/>
        <v>30</v>
      </c>
      <c r="I78" s="1745">
        <f t="shared" si="37"/>
        <v>30</v>
      </c>
      <c r="J78" s="1745">
        <f t="shared" si="37"/>
        <v>30</v>
      </c>
      <c r="K78" s="1745">
        <f t="shared" si="37"/>
        <v>30</v>
      </c>
      <c r="L78" s="1745">
        <f t="shared" si="37"/>
        <v>30</v>
      </c>
      <c r="M78" s="1330"/>
    </row>
    <row r="79" spans="2:15" ht="24">
      <c r="B79" s="1748" t="s">
        <v>1855</v>
      </c>
      <c r="C79" s="1325">
        <f>$C$9*C75</f>
        <v>8700</v>
      </c>
      <c r="D79" s="1325">
        <f t="shared" ref="D79:L79" si="38">$C$9*D75</f>
        <v>19950</v>
      </c>
      <c r="E79" s="1325">
        <f t="shared" si="38"/>
        <v>25950</v>
      </c>
      <c r="F79" s="1325">
        <f t="shared" si="38"/>
        <v>16500</v>
      </c>
      <c r="G79" s="1325">
        <f t="shared" si="38"/>
        <v>16500</v>
      </c>
      <c r="H79" s="1325">
        <f t="shared" si="38"/>
        <v>15000</v>
      </c>
      <c r="I79" s="1325">
        <f t="shared" si="38"/>
        <v>15000</v>
      </c>
      <c r="J79" s="1325">
        <f t="shared" si="38"/>
        <v>15000</v>
      </c>
      <c r="K79" s="1325">
        <f t="shared" si="38"/>
        <v>15000</v>
      </c>
      <c r="L79" s="1325">
        <f t="shared" si="38"/>
        <v>15000</v>
      </c>
      <c r="M79" s="1330">
        <f t="shared" si="33"/>
        <v>162600</v>
      </c>
    </row>
    <row r="80" spans="2:15">
      <c r="B80" s="1748" t="s">
        <v>1859</v>
      </c>
      <c r="C80" s="1325">
        <f>$C$10*C77</f>
        <v>8700</v>
      </c>
      <c r="D80" s="1325">
        <f t="shared" ref="D80:L80" si="39">$C$10*D77</f>
        <v>19950</v>
      </c>
      <c r="E80" s="1325">
        <f t="shared" si="39"/>
        <v>25950</v>
      </c>
      <c r="F80" s="1325">
        <f t="shared" si="39"/>
        <v>16500</v>
      </c>
      <c r="G80" s="1325">
        <f t="shared" si="39"/>
        <v>16500</v>
      </c>
      <c r="H80" s="1325">
        <f t="shared" si="39"/>
        <v>15000</v>
      </c>
      <c r="I80" s="1325">
        <f t="shared" si="39"/>
        <v>15000</v>
      </c>
      <c r="J80" s="1325">
        <f t="shared" si="39"/>
        <v>15000</v>
      </c>
      <c r="K80" s="1325">
        <f t="shared" si="39"/>
        <v>15000</v>
      </c>
      <c r="L80" s="1325">
        <f t="shared" si="39"/>
        <v>15000</v>
      </c>
      <c r="M80" s="1330">
        <f t="shared" si="33"/>
        <v>162600</v>
      </c>
    </row>
    <row r="81" spans="1:17" ht="12.75" thickBot="1">
      <c r="B81" s="1749" t="s">
        <v>1860</v>
      </c>
      <c r="C81" s="1340">
        <f>$C$11*C78</f>
        <v>4350</v>
      </c>
      <c r="D81" s="1340">
        <f t="shared" ref="D81:L81" si="40">$C$11*D78</f>
        <v>9975.0000000000018</v>
      </c>
      <c r="E81" s="1340">
        <f>$C$11*E78</f>
        <v>12975.000000000002</v>
      </c>
      <c r="F81" s="1340">
        <f t="shared" si="40"/>
        <v>8250</v>
      </c>
      <c r="G81" s="1340">
        <f t="shared" si="40"/>
        <v>8250</v>
      </c>
      <c r="H81" s="1340">
        <f t="shared" si="40"/>
        <v>7500</v>
      </c>
      <c r="I81" s="1340">
        <f t="shared" si="40"/>
        <v>7500</v>
      </c>
      <c r="J81" s="1340">
        <f t="shared" si="40"/>
        <v>7500</v>
      </c>
      <c r="K81" s="1340">
        <f t="shared" si="40"/>
        <v>7500</v>
      </c>
      <c r="L81" s="1340">
        <f t="shared" si="40"/>
        <v>7500</v>
      </c>
      <c r="M81" s="1330">
        <f t="shared" si="33"/>
        <v>81300</v>
      </c>
    </row>
    <row r="82" spans="1:17">
      <c r="B82" s="1302"/>
      <c r="C82" s="1736"/>
      <c r="D82" s="1736"/>
      <c r="E82" s="1736"/>
      <c r="F82" s="1737"/>
      <c r="G82" s="1737"/>
      <c r="H82" s="1736"/>
      <c r="I82" s="1736"/>
      <c r="J82" s="1736"/>
      <c r="K82" s="1738"/>
      <c r="L82" s="1738"/>
      <c r="M82" s="1330"/>
    </row>
    <row r="83" spans="1:17">
      <c r="B83" s="1266" t="s">
        <v>203</v>
      </c>
      <c r="C83" s="1345">
        <f t="shared" ref="C83:L83" si="41">SUM(C68,C58,C54)</f>
        <v>369429.45</v>
      </c>
      <c r="D83" s="1345">
        <f t="shared" si="41"/>
        <v>869701.95</v>
      </c>
      <c r="E83" s="1345">
        <f t="shared" si="41"/>
        <v>1093834.95</v>
      </c>
      <c r="F83" s="1345">
        <f t="shared" si="41"/>
        <v>670527</v>
      </c>
      <c r="G83" s="1345">
        <f t="shared" si="41"/>
        <v>670527</v>
      </c>
      <c r="H83" s="1345">
        <f t="shared" si="41"/>
        <v>624351</v>
      </c>
      <c r="I83" s="1345">
        <f t="shared" si="41"/>
        <v>624351</v>
      </c>
      <c r="J83" s="1345">
        <f t="shared" si="41"/>
        <v>624351</v>
      </c>
      <c r="K83" s="1345">
        <f t="shared" si="41"/>
        <v>624351</v>
      </c>
      <c r="L83" s="1345">
        <f t="shared" si="41"/>
        <v>624351</v>
      </c>
      <c r="M83" s="1346">
        <f t="shared" si="13"/>
        <v>6795775.3499999996</v>
      </c>
    </row>
    <row r="84" spans="1:17">
      <c r="B84" s="1347" t="s">
        <v>478</v>
      </c>
      <c r="C84" s="1345">
        <f>SUM(C54,C58,C68)</f>
        <v>369429.45</v>
      </c>
      <c r="D84" s="1345">
        <f>SUM(D54,D58,D68)</f>
        <v>869701.95</v>
      </c>
      <c r="E84" s="1345">
        <f>SUM(E54/2,E58,E68/2)</f>
        <v>735483.45</v>
      </c>
      <c r="F84" s="1345"/>
      <c r="G84" s="1345"/>
      <c r="H84" s="1345"/>
      <c r="I84" s="1345"/>
      <c r="J84" s="1345"/>
      <c r="K84" s="1345"/>
      <c r="L84" s="1345"/>
      <c r="M84" s="1346">
        <f t="shared" ref="M84:M85" si="42">SUM(C84:L84)</f>
        <v>1974614.8499999999</v>
      </c>
    </row>
    <row r="85" spans="1:17">
      <c r="B85" s="1347" t="s">
        <v>540</v>
      </c>
      <c r="C85" s="1345"/>
      <c r="D85" s="1345"/>
      <c r="E85" s="1345">
        <f>SUM(E54/2,E68/2)</f>
        <v>358351.5</v>
      </c>
      <c r="F85" s="1345">
        <f t="shared" ref="F85:L85" si="43">SUM(F68,F54)</f>
        <v>670527</v>
      </c>
      <c r="G85" s="1345">
        <f t="shared" si="43"/>
        <v>670527</v>
      </c>
      <c r="H85" s="1345">
        <f t="shared" si="43"/>
        <v>624351</v>
      </c>
      <c r="I85" s="1345">
        <f t="shared" si="43"/>
        <v>624351</v>
      </c>
      <c r="J85" s="1345">
        <f t="shared" si="43"/>
        <v>624351</v>
      </c>
      <c r="K85" s="1345">
        <f t="shared" si="43"/>
        <v>624351</v>
      </c>
      <c r="L85" s="1345">
        <f t="shared" si="43"/>
        <v>624351</v>
      </c>
      <c r="M85" s="1346">
        <f t="shared" si="42"/>
        <v>4821160.5</v>
      </c>
    </row>
    <row r="86" spans="1:17">
      <c r="B86" s="1347"/>
      <c r="C86" s="1345"/>
      <c r="D86" s="1345"/>
      <c r="E86" s="1345"/>
      <c r="F86" s="1345"/>
      <c r="G86" s="1345"/>
      <c r="H86" s="1345"/>
      <c r="I86" s="1345"/>
      <c r="J86" s="1345"/>
      <c r="K86" s="1345"/>
      <c r="L86" s="1345"/>
      <c r="M86" s="1346"/>
    </row>
    <row r="87" spans="1:17">
      <c r="C87" s="1345"/>
      <c r="D87" s="1345"/>
      <c r="E87" s="1345"/>
      <c r="F87" s="1345"/>
      <c r="G87" s="1345"/>
      <c r="H87" s="1345"/>
      <c r="I87" s="1345"/>
      <c r="J87" s="1345"/>
      <c r="K87" s="1345"/>
      <c r="L87" s="1345"/>
      <c r="M87" s="1345"/>
      <c r="N87" s="1345"/>
      <c r="O87" s="1345"/>
      <c r="P87" s="1345"/>
      <c r="Q87" s="1345"/>
    </row>
    <row r="88" spans="1:17">
      <c r="A88" s="1265" t="s">
        <v>211</v>
      </c>
    </row>
    <row r="90" spans="1:17" s="1266" customFormat="1" ht="24">
      <c r="B90" s="1348" t="s">
        <v>411</v>
      </c>
      <c r="C90" s="1349" t="s">
        <v>437</v>
      </c>
      <c r="D90" s="1308" t="s">
        <v>412</v>
      </c>
      <c r="E90" s="1310" t="s">
        <v>434</v>
      </c>
    </row>
    <row r="91" spans="1:17">
      <c r="B91" s="1350" t="s">
        <v>377</v>
      </c>
      <c r="C91" s="1351">
        <v>1</v>
      </c>
      <c r="D91" s="1352">
        <v>100</v>
      </c>
      <c r="E91" s="1353">
        <f>C91*12*2.5*20*8</f>
        <v>4800</v>
      </c>
      <c r="G91" s="1354"/>
      <c r="I91" s="1355" t="s">
        <v>1622</v>
      </c>
    </row>
    <row r="92" spans="1:17">
      <c r="B92" s="1356" t="s">
        <v>400</v>
      </c>
      <c r="C92" s="1357">
        <v>1</v>
      </c>
      <c r="D92" s="1358">
        <v>60</v>
      </c>
      <c r="E92" s="1353">
        <f t="shared" ref="E92:E94" si="44">C92*12*2.5*20*8</f>
        <v>4800</v>
      </c>
      <c r="I92" s="1355" t="s">
        <v>1622</v>
      </c>
    </row>
    <row r="93" spans="1:17">
      <c r="B93" s="1356" t="s">
        <v>560</v>
      </c>
      <c r="C93" s="1357">
        <v>1</v>
      </c>
      <c r="D93" s="1358">
        <v>80</v>
      </c>
      <c r="E93" s="1353">
        <f t="shared" si="44"/>
        <v>4800</v>
      </c>
      <c r="I93" s="1355" t="s">
        <v>1622</v>
      </c>
    </row>
    <row r="94" spans="1:17">
      <c r="B94" s="1359" t="s">
        <v>414</v>
      </c>
      <c r="C94" s="1360">
        <v>4.5</v>
      </c>
      <c r="D94" s="1361">
        <v>120</v>
      </c>
      <c r="E94" s="1362">
        <f t="shared" si="44"/>
        <v>21600</v>
      </c>
      <c r="G94" s="635" t="s">
        <v>415</v>
      </c>
      <c r="I94" s="1355" t="s">
        <v>1623</v>
      </c>
    </row>
    <row r="96" spans="1:17" s="1266" customFormat="1" ht="14.45" customHeight="1">
      <c r="B96" s="1348" t="s">
        <v>411</v>
      </c>
      <c r="C96" s="1842">
        <v>2024</v>
      </c>
      <c r="D96" s="1843"/>
      <c r="E96" s="1844">
        <v>2025</v>
      </c>
      <c r="F96" s="1845"/>
      <c r="G96" s="1844">
        <v>2026</v>
      </c>
      <c r="H96" s="1845"/>
      <c r="I96" s="1844">
        <v>2027</v>
      </c>
      <c r="J96" s="1846"/>
    </row>
    <row r="97" spans="1:13" s="1266" customFormat="1">
      <c r="B97" s="1363"/>
      <c r="C97" s="1364" t="s">
        <v>435</v>
      </c>
      <c r="D97" s="1365" t="s">
        <v>436</v>
      </c>
      <c r="E97" s="1364" t="s">
        <v>435</v>
      </c>
      <c r="F97" s="1365" t="s">
        <v>436</v>
      </c>
      <c r="G97" s="1364" t="s">
        <v>435</v>
      </c>
      <c r="H97" s="1365" t="s">
        <v>436</v>
      </c>
      <c r="I97" s="1366" t="s">
        <v>435</v>
      </c>
      <c r="J97" s="1367" t="s">
        <v>436</v>
      </c>
    </row>
    <row r="98" spans="1:13">
      <c r="B98" s="1350" t="s">
        <v>377</v>
      </c>
      <c r="C98" s="1351">
        <f>6*20.5*8</f>
        <v>984</v>
      </c>
      <c r="D98" s="1368">
        <f>$C$91*$D$91*C98</f>
        <v>98400</v>
      </c>
      <c r="E98" s="1352">
        <f>12*20.5*8</f>
        <v>1968</v>
      </c>
      <c r="F98" s="1368">
        <f>$C$91*$D$91*E98</f>
        <v>196800</v>
      </c>
      <c r="G98" s="1352">
        <f>12*20.5*8</f>
        <v>1968</v>
      </c>
      <c r="H98" s="1368">
        <f>$C$91*$D$91*G98</f>
        <v>196800</v>
      </c>
      <c r="I98" s="1369"/>
      <c r="J98" s="1353">
        <f>$C$91*$D$91*I98</f>
        <v>0</v>
      </c>
    </row>
    <row r="99" spans="1:13">
      <c r="B99" s="1356" t="s">
        <v>400</v>
      </c>
      <c r="C99" s="1351">
        <f>6*20.5*8</f>
        <v>984</v>
      </c>
      <c r="D99" s="1368">
        <f>$C$92*$D$92*C99</f>
        <v>59040</v>
      </c>
      <c r="E99" s="1352">
        <f>12*20.5*8</f>
        <v>1968</v>
      </c>
      <c r="F99" s="1368">
        <f>$C$92*$D$92*E99</f>
        <v>118080</v>
      </c>
      <c r="G99" s="1352">
        <f>12*20.5*8</f>
        <v>1968</v>
      </c>
      <c r="H99" s="1368">
        <f>$C$92*$D$92*G99</f>
        <v>118080</v>
      </c>
      <c r="I99" s="1370"/>
      <c r="J99" s="1353">
        <f>$C$92*$D$92*I99</f>
        <v>0</v>
      </c>
    </row>
    <row r="100" spans="1:13">
      <c r="B100" s="1356" t="s">
        <v>560</v>
      </c>
      <c r="C100" s="1351">
        <f>6*20.5*8</f>
        <v>984</v>
      </c>
      <c r="D100" s="1368">
        <f>$C$93*$D$93*C100</f>
        <v>78720</v>
      </c>
      <c r="E100" s="1352">
        <f>12*20.5*8</f>
        <v>1968</v>
      </c>
      <c r="F100" s="1368">
        <f>$C$93*$D$93*E100</f>
        <v>157440</v>
      </c>
      <c r="G100" s="1352">
        <f>12*20.5*8</f>
        <v>1968</v>
      </c>
      <c r="H100" s="1368">
        <f>$C$93*$D$93*E100</f>
        <v>157440</v>
      </c>
      <c r="I100" s="1370"/>
      <c r="J100" s="1353">
        <f>$C$92*$D$92*I100</f>
        <v>0</v>
      </c>
    </row>
    <row r="101" spans="1:13">
      <c r="B101" s="1356" t="s">
        <v>414</v>
      </c>
      <c r="C101" s="1357">
        <f>6*10*8</f>
        <v>480</v>
      </c>
      <c r="D101" s="1368">
        <f>$C$94*$D$94*C101</f>
        <v>259200</v>
      </c>
      <c r="E101" s="1358">
        <f>12*10*8</f>
        <v>960</v>
      </c>
      <c r="F101" s="1368">
        <f>$C$94*$D$94*E101</f>
        <v>518400</v>
      </c>
      <c r="G101" s="1358">
        <f>12*10*8</f>
        <v>960</v>
      </c>
      <c r="H101" s="1368">
        <f>$C$94*$D$94*G101</f>
        <v>518400</v>
      </c>
      <c r="I101" s="1370"/>
      <c r="J101" s="1353">
        <f>$C$94*$D$94*I101</f>
        <v>0</v>
      </c>
      <c r="M101" s="635" t="s">
        <v>1836</v>
      </c>
    </row>
    <row r="102" spans="1:13">
      <c r="B102" s="1371" t="s">
        <v>203</v>
      </c>
      <c r="C102" s="1372"/>
      <c r="D102" s="1373">
        <f>SUM(D98:D101)</f>
        <v>495360</v>
      </c>
      <c r="E102" s="1373"/>
      <c r="F102" s="1373">
        <f t="shared" ref="F102:J102" si="45">SUM(F98:F101)</f>
        <v>990720</v>
      </c>
      <c r="G102" s="1373"/>
      <c r="H102" s="1373">
        <f t="shared" si="45"/>
        <v>990720</v>
      </c>
      <c r="I102" s="1374"/>
      <c r="J102" s="1375">
        <f t="shared" si="45"/>
        <v>0</v>
      </c>
      <c r="K102" s="1373">
        <f>SUM(B102:J102)</f>
        <v>2476800</v>
      </c>
      <c r="M102" s="1345">
        <f>K102*1.2</f>
        <v>2972160</v>
      </c>
    </row>
    <row r="104" spans="1:13">
      <c r="A104" s="1265" t="s">
        <v>407</v>
      </c>
    </row>
    <row r="105" spans="1:13">
      <c r="A105" s="1265"/>
    </row>
    <row r="106" spans="1:13">
      <c r="B106" s="635" t="s">
        <v>1564</v>
      </c>
      <c r="C106" s="1660">
        <f>'N_04 Kampaň médiá'!U37</f>
        <v>2694500</v>
      </c>
      <c r="H106" s="1355" t="s">
        <v>908</v>
      </c>
    </row>
    <row r="107" spans="1:13">
      <c r="B107" s="635" t="s">
        <v>1837</v>
      </c>
      <c r="C107" s="1660">
        <f>0.7*C106</f>
        <v>1886149.9999999998</v>
      </c>
      <c r="E107" s="1345"/>
      <c r="F107" s="1345"/>
      <c r="H107" s="1355" t="s">
        <v>1838</v>
      </c>
    </row>
    <row r="108" spans="1:13" ht="12.75" thickBot="1">
      <c r="B108" s="635" t="s">
        <v>1579</v>
      </c>
      <c r="C108" s="1368">
        <f>'N_042 Kampaň agentura'!E17</f>
        <v>109200</v>
      </c>
    </row>
    <row r="109" spans="1:13">
      <c r="B109" s="1376" t="s">
        <v>196</v>
      </c>
      <c r="C109" s="1377">
        <v>2025</v>
      </c>
      <c r="D109" s="1377">
        <v>2026</v>
      </c>
      <c r="E109" s="1377">
        <v>2027</v>
      </c>
      <c r="F109" s="1378">
        <v>2028</v>
      </c>
    </row>
    <row r="110" spans="1:13">
      <c r="B110" s="1379" t="s">
        <v>1577</v>
      </c>
      <c r="C110" s="1380">
        <f>$C$107*0.2</f>
        <v>377230</v>
      </c>
      <c r="D110" s="1380">
        <f>$C$107*0.8</f>
        <v>1508920</v>
      </c>
      <c r="E110" s="1380">
        <v>50000</v>
      </c>
      <c r="F110" s="1381">
        <v>50000</v>
      </c>
    </row>
    <row r="111" spans="1:13">
      <c r="B111" s="1382" t="s">
        <v>1526</v>
      </c>
      <c r="C111" s="1352"/>
      <c r="D111" s="1352"/>
      <c r="E111" s="1352"/>
      <c r="F111" s="1383"/>
    </row>
    <row r="112" spans="1:13">
      <c r="B112" s="1384" t="s">
        <v>1578</v>
      </c>
      <c r="C112" s="1385">
        <f>$C$108*0.2</f>
        <v>21840</v>
      </c>
      <c r="D112" s="1385">
        <f>$C$108*0.8</f>
        <v>87360</v>
      </c>
      <c r="E112" s="1361"/>
      <c r="F112" s="1386"/>
      <c r="H112" s="1355" t="s">
        <v>1527</v>
      </c>
    </row>
    <row r="113" spans="1:14" ht="12.75" thickBot="1">
      <c r="B113" s="1387"/>
      <c r="C113" s="1388">
        <f>SUM(C110:C112)</f>
        <v>399070</v>
      </c>
      <c r="D113" s="1388">
        <f t="shared" ref="D113:F113" si="46">SUM(D110:D112)</f>
        <v>1596280</v>
      </c>
      <c r="E113" s="1388">
        <f t="shared" si="46"/>
        <v>50000</v>
      </c>
      <c r="F113" s="1389">
        <f t="shared" si="46"/>
        <v>50000</v>
      </c>
      <c r="G113" s="1346">
        <f>SUM(C113:F113)</f>
        <v>2095350</v>
      </c>
      <c r="H113" s="1355"/>
      <c r="I113" s="1345">
        <f>G113*1.2</f>
        <v>2514420</v>
      </c>
    </row>
    <row r="114" spans="1:14">
      <c r="C114" s="1345"/>
      <c r="D114" s="1345"/>
      <c r="H114" s="1355"/>
    </row>
    <row r="115" spans="1:14" ht="12.75" thickBot="1">
      <c r="A115" s="1265" t="s">
        <v>1839</v>
      </c>
    </row>
    <row r="116" spans="1:14" s="1390" customFormat="1" ht="14.25" customHeight="1">
      <c r="B116" s="1172"/>
      <c r="C116" s="1173"/>
      <c r="D116" s="1839" t="s">
        <v>680</v>
      </c>
      <c r="E116" s="1839"/>
      <c r="F116" s="1839"/>
      <c r="G116" s="1839" t="s">
        <v>681</v>
      </c>
      <c r="H116" s="1839"/>
      <c r="I116" s="1839"/>
      <c r="J116" s="1840" t="s">
        <v>682</v>
      </c>
      <c r="K116" s="1840"/>
      <c r="L116" s="1840"/>
      <c r="N116" s="1429" t="s">
        <v>1635</v>
      </c>
    </row>
    <row r="117" spans="1:14" s="1390" customFormat="1">
      <c r="B117" s="1174"/>
      <c r="C117" s="1175" t="s">
        <v>907</v>
      </c>
      <c r="D117" s="1176" t="s">
        <v>904</v>
      </c>
      <c r="E117" s="1176" t="s">
        <v>261</v>
      </c>
      <c r="F117" s="1177" t="s">
        <v>912</v>
      </c>
      <c r="G117" s="1176" t="s">
        <v>904</v>
      </c>
      <c r="H117" s="1176" t="s">
        <v>261</v>
      </c>
      <c r="I117" s="1177" t="s">
        <v>912</v>
      </c>
      <c r="J117" s="1176" t="s">
        <v>904</v>
      </c>
      <c r="K117" s="1178" t="s">
        <v>261</v>
      </c>
      <c r="L117" s="1179" t="s">
        <v>912</v>
      </c>
    </row>
    <row r="118" spans="1:14" s="1390" customFormat="1">
      <c r="B118" s="1391" t="s">
        <v>571</v>
      </c>
      <c r="C118" s="1392">
        <f>'N_033 Prieskum zariadenia'!C19</f>
        <v>1000</v>
      </c>
      <c r="D118" s="1202" t="s">
        <v>909</v>
      </c>
      <c r="E118" s="1186">
        <f>'N_033 Prieskum zariadenia'!E19</f>
        <v>0</v>
      </c>
      <c r="F118" s="1204">
        <f t="shared" ref="F118:F123" si="47">E118*C118</f>
        <v>0</v>
      </c>
      <c r="G118" s="1202" t="s">
        <v>909</v>
      </c>
      <c r="H118" s="1186">
        <f>'N_033 Prieskum zariadenia'!H19</f>
        <v>0</v>
      </c>
      <c r="I118" s="1185">
        <f t="shared" ref="I118:I123" si="48">H118*C118</f>
        <v>0</v>
      </c>
      <c r="J118" s="1202" t="s">
        <v>909</v>
      </c>
      <c r="K118" s="1186">
        <f>'N_033 Prieskum zariadenia'!K19</f>
        <v>0</v>
      </c>
      <c r="L118" s="1187">
        <f t="shared" ref="L118:L123" si="49">K118*C118</f>
        <v>0</v>
      </c>
    </row>
    <row r="119" spans="1:14" s="1390" customFormat="1">
      <c r="B119" s="1393" t="s">
        <v>1582</v>
      </c>
      <c r="C119" s="1212">
        <f>'N_033 Prieskum zariadenia'!C20</f>
        <v>1900</v>
      </c>
      <c r="D119" s="1180" t="s">
        <v>1585</v>
      </c>
      <c r="E119" s="1203">
        <f>'N_033 Prieskum zariadenia'!E20</f>
        <v>2086.5</v>
      </c>
      <c r="F119" s="1204">
        <f t="shared" si="47"/>
        <v>3964350</v>
      </c>
      <c r="G119" s="1180" t="s">
        <v>1585</v>
      </c>
      <c r="H119" s="1203">
        <f>'N_033 Prieskum zariadenia'!H20</f>
        <v>2489.5</v>
      </c>
      <c r="I119" s="1659">
        <f t="shared" si="48"/>
        <v>4730050</v>
      </c>
      <c r="J119" s="1180" t="s">
        <v>1585</v>
      </c>
      <c r="K119" s="1203">
        <f>'N_033 Prieskum zariadenia'!K20</f>
        <v>2489.5</v>
      </c>
      <c r="L119" s="1181">
        <f t="shared" si="49"/>
        <v>4730050</v>
      </c>
      <c r="N119" s="1743">
        <f>'N_033 Prieskum zariadenia'!C5</f>
        <v>4173</v>
      </c>
    </row>
    <row r="120" spans="1:14" s="1390" customFormat="1">
      <c r="B120" s="1394" t="s">
        <v>573</v>
      </c>
      <c r="C120" s="1213">
        <f>'N_033 Prieskum zariadenia'!C21</f>
        <v>300</v>
      </c>
      <c r="D120" s="1182"/>
      <c r="E120" s="1205">
        <f>'N_033 Prieskum zariadenia'!E21</f>
        <v>0</v>
      </c>
      <c r="F120" s="1206">
        <f t="shared" si="47"/>
        <v>0</v>
      </c>
      <c r="G120" s="1182" t="s">
        <v>909</v>
      </c>
      <c r="H120" s="1688">
        <v>2015</v>
      </c>
      <c r="I120" s="1658">
        <f t="shared" si="48"/>
        <v>604500</v>
      </c>
      <c r="J120" s="1182" t="s">
        <v>909</v>
      </c>
      <c r="K120" s="1205">
        <f>'N_033 Prieskum zariadenia'!K21</f>
        <v>7591.6</v>
      </c>
      <c r="L120" s="1183">
        <f t="shared" si="49"/>
        <v>2277480</v>
      </c>
      <c r="N120" s="1743">
        <f>'N_033 Prieskum zariadenia'!F5</f>
        <v>2015</v>
      </c>
    </row>
    <row r="121" spans="1:14" s="1390" customFormat="1">
      <c r="B121" s="1391" t="s">
        <v>1587</v>
      </c>
      <c r="C121" s="1214">
        <f>'N_033 Prieskum zariadenia'!C22</f>
        <v>500</v>
      </c>
      <c r="D121" s="1202" t="s">
        <v>265</v>
      </c>
      <c r="E121" s="1186">
        <f>'N_033 Prieskum zariadenia'!E22</f>
        <v>0</v>
      </c>
      <c r="F121" s="1185">
        <f t="shared" si="47"/>
        <v>0</v>
      </c>
      <c r="G121" s="1202" t="s">
        <v>265</v>
      </c>
      <c r="H121" s="1186">
        <f>'N_033 Prieskum zariadenia'!H22</f>
        <v>0</v>
      </c>
      <c r="I121" s="1185">
        <f t="shared" si="48"/>
        <v>0</v>
      </c>
      <c r="J121" s="1202" t="s">
        <v>265</v>
      </c>
      <c r="K121" s="1186">
        <f>'N_033 Prieskum zariadenia'!K22</f>
        <v>0</v>
      </c>
      <c r="L121" s="1187">
        <f t="shared" si="49"/>
        <v>0</v>
      </c>
    </row>
    <row r="122" spans="1:14" s="1390" customFormat="1">
      <c r="B122" s="1393" t="s">
        <v>1589</v>
      </c>
      <c r="C122" s="1212">
        <f>'N_033 Prieskum zariadenia'!C23</f>
        <v>650</v>
      </c>
      <c r="D122" s="1180" t="s">
        <v>265</v>
      </c>
      <c r="E122" s="1203">
        <f>'N_033 Prieskum zariadenia'!E23</f>
        <v>0</v>
      </c>
      <c r="F122" s="1204">
        <f t="shared" si="47"/>
        <v>0</v>
      </c>
      <c r="G122" s="1180" t="s">
        <v>265</v>
      </c>
      <c r="H122" s="1203">
        <f>'N_033 Prieskum zariadenia'!H23</f>
        <v>0</v>
      </c>
      <c r="I122" s="1204">
        <f t="shared" si="48"/>
        <v>0</v>
      </c>
      <c r="J122" s="1180" t="s">
        <v>265</v>
      </c>
      <c r="K122" s="1203">
        <f>'N_033 Prieskum zariadenia'!K23</f>
        <v>0</v>
      </c>
      <c r="L122" s="1181">
        <f t="shared" si="49"/>
        <v>0</v>
      </c>
    </row>
    <row r="123" spans="1:14" s="1390" customFormat="1">
      <c r="B123" s="1393" t="s">
        <v>1591</v>
      </c>
      <c r="C123" s="1212">
        <f>'N_033 Prieskum zariadenia'!C24</f>
        <v>850</v>
      </c>
      <c r="D123" s="1180" t="s">
        <v>265</v>
      </c>
      <c r="E123" s="1203">
        <f>'N_033 Prieskum zariadenia'!E24</f>
        <v>0</v>
      </c>
      <c r="F123" s="1204">
        <f t="shared" si="47"/>
        <v>0</v>
      </c>
      <c r="G123" s="1180" t="s">
        <v>265</v>
      </c>
      <c r="H123" s="1203">
        <f>'N_033 Prieskum zariadenia'!H24</f>
        <v>0</v>
      </c>
      <c r="I123" s="1204">
        <f t="shared" si="48"/>
        <v>0</v>
      </c>
      <c r="J123" s="1180" t="s">
        <v>265</v>
      </c>
      <c r="K123" s="1203">
        <f>'N_033 Prieskum zariadenia'!K24</f>
        <v>2295.15</v>
      </c>
      <c r="L123" s="1181">
        <f t="shared" si="49"/>
        <v>1950877.5</v>
      </c>
    </row>
    <row r="124" spans="1:14" s="1390" customFormat="1">
      <c r="A124" s="1199"/>
      <c r="B124" s="1393" t="s">
        <v>1592</v>
      </c>
      <c r="C124" s="1212">
        <f>'N_033 Prieskum zariadenia'!C25</f>
        <v>1600</v>
      </c>
      <c r="D124" s="1180" t="s">
        <v>265</v>
      </c>
      <c r="E124" s="1203">
        <f>'N_033 Prieskum zariadenia'!E25</f>
        <v>0</v>
      </c>
      <c r="F124" s="1204"/>
      <c r="G124" s="1180" t="s">
        <v>265</v>
      </c>
      <c r="H124" s="1256">
        <v>0</v>
      </c>
      <c r="I124" s="1204">
        <f>H124*C124</f>
        <v>0</v>
      </c>
      <c r="J124" s="1180" t="s">
        <v>265</v>
      </c>
      <c r="K124" s="1203">
        <f>'N_033 Prieskum zariadenia'!K25</f>
        <v>0</v>
      </c>
      <c r="L124" s="1181">
        <f>K124*C124</f>
        <v>0</v>
      </c>
    </row>
    <row r="125" spans="1:14" s="1390" customFormat="1">
      <c r="A125" s="1199"/>
      <c r="B125" s="1393" t="s">
        <v>1593</v>
      </c>
      <c r="C125" s="1212">
        <f>'N_033 Prieskum zariadenia'!C26</f>
        <v>2000</v>
      </c>
      <c r="D125" s="1180" t="s">
        <v>265</v>
      </c>
      <c r="E125" s="1203">
        <f>'N_033 Prieskum zariadenia'!E26</f>
        <v>0</v>
      </c>
      <c r="F125" s="1204"/>
      <c r="G125" s="1180" t="s">
        <v>265</v>
      </c>
      <c r="H125" s="1203">
        <f>'N_033 Prieskum zariadenia'!H26</f>
        <v>0</v>
      </c>
      <c r="I125" s="1204">
        <f>H125*C125</f>
        <v>0</v>
      </c>
      <c r="J125" s="1180" t="s">
        <v>265</v>
      </c>
      <c r="K125" s="1203">
        <f>'N_033 Prieskum zariadenia'!K26</f>
        <v>4173</v>
      </c>
      <c r="L125" s="1181">
        <f>K125*C125</f>
        <v>8346000</v>
      </c>
    </row>
    <row r="126" spans="1:14" s="1390" customFormat="1">
      <c r="A126" s="1199"/>
      <c r="B126" s="1393" t="s">
        <v>1594</v>
      </c>
      <c r="C126" s="1212">
        <f>'N_033 Prieskum zariadenia'!C27</f>
        <v>1600</v>
      </c>
      <c r="D126" s="1180" t="s">
        <v>264</v>
      </c>
      <c r="E126" s="1203">
        <f>'N_033 Prieskum zariadenia'!E27</f>
        <v>0</v>
      </c>
      <c r="F126" s="1204"/>
      <c r="G126" s="1180" t="s">
        <v>264</v>
      </c>
      <c r="H126" s="1203">
        <f>'N_033 Prieskum zariadenia'!H27</f>
        <v>0</v>
      </c>
      <c r="I126" s="1204"/>
      <c r="J126" s="1180" t="s">
        <v>264</v>
      </c>
      <c r="K126" s="1203">
        <f>'N_033 Prieskum zariadenia'!K27</f>
        <v>0</v>
      </c>
      <c r="L126" s="1181"/>
    </row>
    <row r="127" spans="1:14" s="1390" customFormat="1">
      <c r="A127" s="1199"/>
      <c r="B127" s="1393" t="s">
        <v>1595</v>
      </c>
      <c r="C127" s="1212">
        <f>'N_033 Prieskum zariadenia'!C28</f>
        <v>1800</v>
      </c>
      <c r="D127" s="1180" t="s">
        <v>264</v>
      </c>
      <c r="E127" s="1203">
        <f>'N_033 Prieskum zariadenia'!E28</f>
        <v>0</v>
      </c>
      <c r="F127" s="1204"/>
      <c r="G127" s="1180" t="s">
        <v>264</v>
      </c>
      <c r="H127" s="1203">
        <f>'N_033 Prieskum zariadenia'!H28</f>
        <v>0</v>
      </c>
      <c r="I127" s="1204"/>
      <c r="J127" s="1180" t="s">
        <v>264</v>
      </c>
      <c r="K127" s="1203">
        <f>'N_033 Prieskum zariadenia'!K28</f>
        <v>0</v>
      </c>
      <c r="L127" s="1181"/>
    </row>
    <row r="128" spans="1:14" s="1390" customFormat="1">
      <c r="A128" s="1199"/>
      <c r="B128" s="1393" t="s">
        <v>1596</v>
      </c>
      <c r="C128" s="1212">
        <f>'N_033 Prieskum zariadenia'!C29</f>
        <v>2000</v>
      </c>
      <c r="D128" s="1180" t="s">
        <v>264</v>
      </c>
      <c r="E128" s="1203">
        <f>'N_033 Prieskum zariadenia'!E29</f>
        <v>0</v>
      </c>
      <c r="F128" s="1204"/>
      <c r="G128" s="1180" t="s">
        <v>264</v>
      </c>
      <c r="H128" s="1203">
        <f>'N_033 Prieskum zariadenia'!H29</f>
        <v>0</v>
      </c>
      <c r="I128" s="1204"/>
      <c r="J128" s="1180" t="s">
        <v>264</v>
      </c>
      <c r="K128" s="1203">
        <f>'N_033 Prieskum zariadenia'!K29</f>
        <v>4231.5</v>
      </c>
      <c r="L128" s="1181">
        <f>K128*C128</f>
        <v>8463000</v>
      </c>
    </row>
    <row r="129" spans="1:15" s="1390" customFormat="1">
      <c r="A129" s="1199"/>
      <c r="B129" s="1393" t="s">
        <v>1627</v>
      </c>
      <c r="C129" s="1212">
        <f>'N_033 Prieskum zariadenia'!C30</f>
        <v>3000</v>
      </c>
      <c r="D129" s="1180" t="s">
        <v>4</v>
      </c>
      <c r="E129" s="1203">
        <f>'N_033 Prieskum zariadenia'!E30</f>
        <v>0</v>
      </c>
      <c r="F129" s="1204"/>
      <c r="G129" s="1180" t="s">
        <v>4</v>
      </c>
      <c r="H129" s="1686">
        <v>0</v>
      </c>
      <c r="I129" s="1657">
        <f>H129*C129</f>
        <v>0</v>
      </c>
      <c r="J129" s="1180" t="s">
        <v>4</v>
      </c>
      <c r="K129" s="1203">
        <f>'N_033 Prieskum zariadenia'!K30</f>
        <v>0</v>
      </c>
      <c r="L129" s="1181"/>
    </row>
    <row r="130" spans="1:15" s="1390" customFormat="1">
      <c r="B130" s="1395" t="s">
        <v>1628</v>
      </c>
      <c r="C130" s="1215">
        <f>'N_033 Prieskum zariadenia'!C31</f>
        <v>3500</v>
      </c>
      <c r="D130" s="1190" t="s">
        <v>4</v>
      </c>
      <c r="E130" s="1207">
        <f>'N_033 Prieskum zariadenia'!E31</f>
        <v>0</v>
      </c>
      <c r="F130" s="1188"/>
      <c r="G130" s="1190" t="s">
        <v>4</v>
      </c>
      <c r="H130" s="1207">
        <f>'N_033 Prieskum zariadenia'!H31</f>
        <v>0</v>
      </c>
      <c r="I130" s="1188"/>
      <c r="J130" s="1190" t="s">
        <v>4</v>
      </c>
      <c r="K130" s="1221">
        <f>'N_033 Prieskum zariadenia'!K31</f>
        <v>1403.6000000000001</v>
      </c>
      <c r="L130" s="1189">
        <f t="shared" ref="L130:L146" si="50">K130*C130</f>
        <v>4912600.0000000009</v>
      </c>
      <c r="N130" s="1390" t="s">
        <v>1626</v>
      </c>
    </row>
    <row r="131" spans="1:15" s="1390" customFormat="1">
      <c r="B131" s="1391" t="s">
        <v>913</v>
      </c>
      <c r="C131" s="1214">
        <f>'N_033 Prieskum zariadenia'!C32</f>
        <v>600</v>
      </c>
      <c r="D131" s="1186" t="s">
        <v>264</v>
      </c>
      <c r="E131" s="1186">
        <f>'N_033 Prieskum zariadenia'!E32</f>
        <v>50</v>
      </c>
      <c r="F131" s="1185">
        <f>E131*C131</f>
        <v>30000</v>
      </c>
      <c r="G131" s="1186" t="s">
        <v>264</v>
      </c>
      <c r="H131" s="1186">
        <f>'N_033 Prieskum zariadenia'!H32</f>
        <v>50</v>
      </c>
      <c r="I131" s="1185">
        <f>H131*C131</f>
        <v>30000</v>
      </c>
      <c r="J131" s="1186" t="s">
        <v>264</v>
      </c>
      <c r="K131" s="1186">
        <f>'N_033 Prieskum zariadenia'!K32</f>
        <v>0</v>
      </c>
      <c r="L131" s="1187">
        <f t="shared" si="50"/>
        <v>0</v>
      </c>
    </row>
    <row r="132" spans="1:15" s="1390" customFormat="1">
      <c r="B132" s="1395" t="s">
        <v>914</v>
      </c>
      <c r="C132" s="1215">
        <f>'N_033 Prieskum zariadenia'!C33</f>
        <v>1000</v>
      </c>
      <c r="D132" s="1190" t="s">
        <v>264</v>
      </c>
      <c r="E132" s="1207">
        <f>'N_033 Prieskum zariadenia'!E33</f>
        <v>0</v>
      </c>
      <c r="F132" s="1188">
        <f>E132*C132</f>
        <v>0</v>
      </c>
      <c r="G132" s="1190" t="s">
        <v>264</v>
      </c>
      <c r="H132" s="1207">
        <f>'N_033 Prieskum zariadenia'!H33</f>
        <v>0</v>
      </c>
      <c r="I132" s="1188">
        <f>H132*C132</f>
        <v>0</v>
      </c>
      <c r="J132" s="1190" t="s">
        <v>264</v>
      </c>
      <c r="K132" s="1207">
        <f>'N_033 Prieskum zariadenia'!K33</f>
        <v>100</v>
      </c>
      <c r="L132" s="1189">
        <f t="shared" si="50"/>
        <v>100000</v>
      </c>
    </row>
    <row r="133" spans="1:15" s="1390" customFormat="1">
      <c r="B133" s="1471" t="s">
        <v>1659</v>
      </c>
      <c r="C133" s="1661">
        <v>625</v>
      </c>
      <c r="D133" s="1197"/>
      <c r="E133" s="1472">
        <f>SUM(E119,E122)</f>
        <v>2086.5</v>
      </c>
      <c r="F133" s="1261"/>
      <c r="G133" s="1197"/>
      <c r="H133" s="1472">
        <f>SUM(H119)</f>
        <v>2489.5</v>
      </c>
      <c r="I133" s="1482">
        <f>C133*H133</f>
        <v>1555937.5</v>
      </c>
      <c r="J133" s="1473"/>
      <c r="K133" s="1472">
        <f>SUM(K119)</f>
        <v>2489.5</v>
      </c>
      <c r="L133" s="1483">
        <f>C133*K133</f>
        <v>1555937.5</v>
      </c>
    </row>
    <row r="134" spans="1:15" s="1390" customFormat="1" ht="12.75" thickBot="1">
      <c r="B134" s="1396" t="s">
        <v>203</v>
      </c>
      <c r="C134" s="1216"/>
      <c r="D134" s="1191"/>
      <c r="E134" s="1192"/>
      <c r="F134" s="1193">
        <f>SUM(F118:F133)</f>
        <v>3994350</v>
      </c>
      <c r="G134" s="1191"/>
      <c r="H134" s="1192">
        <f>SUM(H118:H132)</f>
        <v>4554.5</v>
      </c>
      <c r="I134" s="1193">
        <f>SUM(I118:I133)</f>
        <v>6920487.5</v>
      </c>
      <c r="J134" s="1194"/>
      <c r="K134" s="1195">
        <f>SUM(K118:K132)</f>
        <v>22284.35</v>
      </c>
      <c r="L134" s="1196">
        <f>SUM(L118:L133)</f>
        <v>32335945</v>
      </c>
    </row>
    <row r="135" spans="1:15" s="1390" customFormat="1">
      <c r="B135" s="1397"/>
      <c r="C135" s="1217"/>
      <c r="D135" s="1197"/>
      <c r="E135" s="1198"/>
      <c r="F135" s="1197"/>
      <c r="G135" s="1197"/>
      <c r="H135" s="1198"/>
      <c r="I135" s="1197"/>
      <c r="J135" s="1199"/>
      <c r="K135" s="1198"/>
      <c r="L135" s="1197"/>
    </row>
    <row r="136" spans="1:15" s="1390" customFormat="1" ht="12.75" thickBot="1">
      <c r="A136" s="1265" t="s">
        <v>1645</v>
      </c>
      <c r="B136" s="1397"/>
      <c r="C136" s="1217"/>
      <c r="D136" s="1197"/>
      <c r="E136" s="1198"/>
      <c r="F136" s="1197"/>
      <c r="G136" s="1197"/>
      <c r="H136" s="1198"/>
      <c r="I136" s="1197"/>
      <c r="J136" s="1199"/>
      <c r="K136" s="1198"/>
      <c r="L136" s="1197"/>
    </row>
    <row r="137" spans="1:15" s="1390" customFormat="1" ht="14.25" customHeight="1">
      <c r="B137" s="1469" t="s">
        <v>196</v>
      </c>
      <c r="C137" s="1470" t="s">
        <v>1655</v>
      </c>
      <c r="D137" s="1841" t="s">
        <v>680</v>
      </c>
      <c r="E137" s="1841"/>
      <c r="F137" s="1841"/>
      <c r="G137" s="1841" t="s">
        <v>681</v>
      </c>
      <c r="H137" s="1841"/>
      <c r="I137" s="1841"/>
      <c r="J137" s="1838" t="s">
        <v>682</v>
      </c>
      <c r="K137" s="1838"/>
      <c r="L137" s="1838"/>
    </row>
    <row r="138" spans="1:15" s="1390" customFormat="1" ht="14.25" customHeight="1">
      <c r="B138" s="1208" t="s">
        <v>1653</v>
      </c>
      <c r="C138" s="1218">
        <v>120</v>
      </c>
      <c r="D138" s="1209"/>
      <c r="E138" s="1741">
        <f>'N_033 Prieskum zariadenia'!C5+'N_033 Prieskum zariadenia'!F5</f>
        <v>6188</v>
      </c>
      <c r="F138" s="1185">
        <f>(C138*E138)/2</f>
        <v>371280</v>
      </c>
      <c r="G138" s="1209"/>
      <c r="H138" s="1443">
        <f>SUM(H119,H129)</f>
        <v>2489.5</v>
      </c>
      <c r="I138" s="1185">
        <f>C138*H138</f>
        <v>298740</v>
      </c>
      <c r="J138" s="1209"/>
      <c r="K138" s="1443">
        <f>SUM(K119,K123,K125,K128,K130)</f>
        <v>14592.75</v>
      </c>
      <c r="L138" s="1187">
        <f>C138*K138</f>
        <v>1751130</v>
      </c>
      <c r="N138" s="1390" t="s">
        <v>1602</v>
      </c>
      <c r="O138" s="1390" t="s">
        <v>1638</v>
      </c>
    </row>
    <row r="139" spans="1:15" s="1390" customFormat="1" ht="14.25" customHeight="1">
      <c r="B139" s="1257" t="s">
        <v>1654</v>
      </c>
      <c r="C139" s="1258">
        <v>24</v>
      </c>
      <c r="D139" s="1259"/>
      <c r="E139" s="1260"/>
      <c r="F139" s="1261"/>
      <c r="G139" s="1259"/>
      <c r="H139" s="1444">
        <f>SUM(H120,H131)</f>
        <v>2065</v>
      </c>
      <c r="I139" s="1261">
        <f>C139*H139</f>
        <v>49560</v>
      </c>
      <c r="J139" s="1259"/>
      <c r="K139" s="1444">
        <f>SUM(K120,K131)</f>
        <v>7591.6</v>
      </c>
      <c r="L139" s="1262">
        <f>C139*K139</f>
        <v>182198.40000000002</v>
      </c>
      <c r="N139" s="1390" t="s">
        <v>1625</v>
      </c>
      <c r="O139" s="1390" t="s">
        <v>1639</v>
      </c>
    </row>
    <row r="140" spans="1:15" s="1390" customFormat="1">
      <c r="B140" s="1456" t="s">
        <v>1656</v>
      </c>
      <c r="C140" s="1457"/>
      <c r="D140" s="1458"/>
      <c r="E140" s="1459"/>
      <c r="F140" s="1460">
        <f>SUM(F138:F139)</f>
        <v>371280</v>
      </c>
      <c r="G140" s="1458"/>
      <c r="H140" s="1459"/>
      <c r="I140" s="1460">
        <f>SUM(I138:I139)</f>
        <v>348300</v>
      </c>
      <c r="J140" s="1461"/>
      <c r="K140" s="1459"/>
      <c r="L140" s="1462">
        <f>SUM(L138:L139)</f>
        <v>1933328.4</v>
      </c>
      <c r="N140" s="1390" t="s">
        <v>1602</v>
      </c>
    </row>
    <row r="141" spans="1:15" s="1390" customFormat="1" ht="12.75" thickBot="1">
      <c r="B141" s="1463" t="s">
        <v>1562</v>
      </c>
      <c r="C141" s="1464">
        <v>24</v>
      </c>
      <c r="D141" s="1465"/>
      <c r="E141" s="1466"/>
      <c r="F141" s="1465"/>
      <c r="G141" s="1465"/>
      <c r="H141" s="1466">
        <f>H119</f>
        <v>2489.5</v>
      </c>
      <c r="I141" s="1465">
        <f>C141*H141</f>
        <v>59748</v>
      </c>
      <c r="J141" s="1467"/>
      <c r="K141" s="1466">
        <f>K119</f>
        <v>2489.5</v>
      </c>
      <c r="L141" s="1468">
        <f>C141*K141</f>
        <v>59748</v>
      </c>
      <c r="N141" s="1390" t="s">
        <v>1646</v>
      </c>
    </row>
    <row r="142" spans="1:15" s="1390" customFormat="1">
      <c r="B142" s="1397"/>
      <c r="C142" s="1217"/>
      <c r="D142" s="1197"/>
      <c r="E142" s="1198"/>
      <c r="F142" s="1197"/>
      <c r="G142" s="1197"/>
      <c r="H142" s="1198"/>
      <c r="I142" s="1197">
        <f>I140*1.2</f>
        <v>417960</v>
      </c>
      <c r="J142" s="1199"/>
      <c r="K142" s="1198"/>
      <c r="L142" s="1197"/>
    </row>
    <row r="143" spans="1:15" s="1390" customFormat="1" ht="12.75" thickBot="1">
      <c r="A143" s="1265" t="s">
        <v>1604</v>
      </c>
      <c r="B143" s="1397"/>
      <c r="C143" s="1217"/>
      <c r="D143" s="1197"/>
      <c r="E143" s="1198"/>
      <c r="F143" s="1197"/>
      <c r="G143" s="1197"/>
      <c r="H143" s="1198"/>
      <c r="I143" s="1197"/>
      <c r="J143" s="1199"/>
      <c r="K143" s="1198"/>
      <c r="L143" s="1197"/>
    </row>
    <row r="144" spans="1:15" s="1390" customFormat="1" ht="14.25" customHeight="1">
      <c r="B144" s="1172"/>
      <c r="C144" s="1173"/>
      <c r="D144" s="1839" t="s">
        <v>680</v>
      </c>
      <c r="E144" s="1839"/>
      <c r="F144" s="1839"/>
      <c r="G144" s="1839" t="s">
        <v>681</v>
      </c>
      <c r="H144" s="1839"/>
      <c r="I144" s="1839"/>
      <c r="J144" s="1840" t="s">
        <v>682</v>
      </c>
      <c r="K144" s="1840"/>
      <c r="L144" s="1840"/>
    </row>
    <row r="145" spans="1:12" s="1390" customFormat="1">
      <c r="B145" s="1399" t="s">
        <v>1599</v>
      </c>
      <c r="C145" s="1220">
        <f>'N_033 Prieskum zariadenia'!C34</f>
        <v>10000</v>
      </c>
      <c r="D145" s="1200"/>
      <c r="E145" s="1184">
        <f>C174</f>
        <v>37</v>
      </c>
      <c r="F145" s="1185">
        <f>E145*C145</f>
        <v>370000</v>
      </c>
      <c r="G145" s="1200"/>
      <c r="H145" s="1184">
        <f>C174</f>
        <v>37</v>
      </c>
      <c r="I145" s="1185">
        <f>H145*C145</f>
        <v>370000</v>
      </c>
      <c r="J145" s="1201"/>
      <c r="K145" s="1184">
        <f>C174</f>
        <v>37</v>
      </c>
      <c r="L145" s="1187">
        <f t="shared" si="50"/>
        <v>370000</v>
      </c>
    </row>
    <row r="146" spans="1:12" s="1390" customFormat="1" ht="12.75" thickBot="1">
      <c r="B146" s="1398" t="s">
        <v>1600</v>
      </c>
      <c r="C146" s="1219">
        <f>'N_033 Prieskum zariadenia'!C35</f>
        <v>75000</v>
      </c>
      <c r="D146" s="1253"/>
      <c r="E146" s="1254">
        <v>5</v>
      </c>
      <c r="F146" s="1210">
        <f>E146*C146</f>
        <v>375000</v>
      </c>
      <c r="G146" s="1253"/>
      <c r="H146" s="1254">
        <f>'N_033 Prieskum zariadenia'!H35</f>
        <v>13</v>
      </c>
      <c r="I146" s="1210">
        <f>H146*C146</f>
        <v>975000</v>
      </c>
      <c r="J146" s="1255"/>
      <c r="K146" s="1254">
        <f>'N_033 Prieskum zariadenia'!K35</f>
        <v>13</v>
      </c>
      <c r="L146" s="1211">
        <f t="shared" si="50"/>
        <v>975000</v>
      </c>
    </row>
    <row r="148" spans="1:12" ht="12.75" thickBot="1">
      <c r="A148" s="1265" t="s">
        <v>1563</v>
      </c>
    </row>
    <row r="149" spans="1:12">
      <c r="B149" s="1448" t="s">
        <v>1661</v>
      </c>
      <c r="C149" s="1474">
        <v>0</v>
      </c>
      <c r="D149" s="635" t="s">
        <v>1704</v>
      </c>
    </row>
    <row r="150" spans="1:12">
      <c r="B150" s="1437" t="s">
        <v>1662</v>
      </c>
      <c r="C150" s="1995">
        <v>7.4000000000000003E-3</v>
      </c>
      <c r="D150" s="635" t="s">
        <v>1702</v>
      </c>
    </row>
    <row r="151" spans="1:12" ht="12.75" thickBot="1">
      <c r="B151" s="1449" t="s">
        <v>1651</v>
      </c>
      <c r="C151" s="1803">
        <v>0.5</v>
      </c>
    </row>
    <row r="152" spans="1:12" ht="12.75" thickBot="1">
      <c r="C152" s="1445"/>
    </row>
    <row r="153" spans="1:12">
      <c r="B153" s="1435" t="s">
        <v>1652</v>
      </c>
      <c r="C153" s="1433">
        <v>2026</v>
      </c>
      <c r="D153" s="1431">
        <v>2027</v>
      </c>
      <c r="E153" s="1431">
        <v>2028</v>
      </c>
      <c r="F153" s="1431">
        <v>2029</v>
      </c>
      <c r="G153" s="1431">
        <v>2030</v>
      </c>
      <c r="H153" s="1431">
        <v>2031</v>
      </c>
      <c r="I153" s="1431">
        <v>2032</v>
      </c>
      <c r="J153" s="1455">
        <v>2033</v>
      </c>
    </row>
    <row r="154" spans="1:12">
      <c r="B154" s="1476" t="s">
        <v>680</v>
      </c>
      <c r="C154" s="1477">
        <f>SUM(C156,C158)</f>
        <v>61069.708658481672</v>
      </c>
      <c r="D154" s="1478">
        <f t="shared" ref="D154:J154" si="51">SUM(D156,D158)</f>
        <v>251898.97905176392</v>
      </c>
      <c r="E154" s="1478">
        <f t="shared" si="51"/>
        <v>386927.82775829965</v>
      </c>
      <c r="F154" s="1478">
        <f t="shared" si="51"/>
        <v>513602.59687270818</v>
      </c>
      <c r="G154" s="1478">
        <f t="shared" si="51"/>
        <v>642794.70598312526</v>
      </c>
      <c r="H154" s="1478">
        <f t="shared" si="51"/>
        <v>774630.35969286261</v>
      </c>
      <c r="I154" s="1478">
        <f t="shared" si="51"/>
        <v>909240.54922972014</v>
      </c>
      <c r="J154" s="1479">
        <f t="shared" si="51"/>
        <v>1046761.4031450959</v>
      </c>
    </row>
    <row r="155" spans="1:12">
      <c r="B155" s="1437" t="s">
        <v>1647</v>
      </c>
      <c r="C155" s="1506">
        <f>'B_01 Benefity súhrn'!E19</f>
        <v>8243319.2018982647</v>
      </c>
      <c r="D155" s="1506">
        <f>'B_01 Benefity súhrn'!F19</f>
        <v>33685011.887137577</v>
      </c>
      <c r="E155" s="1506">
        <f>'B_01 Benefity súhrn'!G19</f>
        <v>51257231.008625053</v>
      </c>
      <c r="F155" s="1506">
        <f>'B_01 Benefity súhrn'!H19</f>
        <v>67398289.652858809</v>
      </c>
      <c r="G155" s="1506">
        <f>'B_01 Benefity súhrn'!I19</f>
        <v>83555063.262356073</v>
      </c>
      <c r="H155" s="1506">
        <f>'B_01 Benefity súhrn'!J19</f>
        <v>99737118.887639627</v>
      </c>
      <c r="I155" s="1506">
        <f>'B_01 Benefity súhrn'!K19</f>
        <v>115954225.43539891</v>
      </c>
      <c r="J155" s="1642">
        <f>'B_01 Benefity súhrn'!L19</f>
        <v>132216374.60434446</v>
      </c>
    </row>
    <row r="156" spans="1:12">
      <c r="B156" s="1437" t="s">
        <v>1649</v>
      </c>
      <c r="C156" s="1450">
        <f>C155*$C$149</f>
        <v>0</v>
      </c>
      <c r="D156" s="1368">
        <f t="shared" ref="D156:J156" si="52">D155*$C$149</f>
        <v>0</v>
      </c>
      <c r="E156" s="1368">
        <f t="shared" si="52"/>
        <v>0</v>
      </c>
      <c r="F156" s="1368">
        <f t="shared" si="52"/>
        <v>0</v>
      </c>
      <c r="G156" s="1368">
        <f t="shared" si="52"/>
        <v>0</v>
      </c>
      <c r="H156" s="1368">
        <f t="shared" si="52"/>
        <v>0</v>
      </c>
      <c r="I156" s="1368">
        <f t="shared" si="52"/>
        <v>0</v>
      </c>
      <c r="J156" s="1451">
        <f t="shared" si="52"/>
        <v>0</v>
      </c>
    </row>
    <row r="157" spans="1:12">
      <c r="B157" s="1437" t="s">
        <v>1657</v>
      </c>
      <c r="C157" s="1675">
        <f>(C155*'B_02 Benefity varianty'!D$109*'B_02 Benefity varianty'!D$97)+(C155*'B_02 Benefity varianty'!D$110*'B_02 Benefity varianty'!D$98)+(C155*'B_02 Benefity varianty'!D$111*'B_02 Benefity varianty'!D$99)+(C155*'B_02 Benefity varianty'!D$112*'B_02 Benefity varianty'!D$100)+(C155*'B_02 Benefity varianty'!D$113*'B_02 Benefity varianty'!D$101)</f>
        <v>8252663.3322272524</v>
      </c>
      <c r="D157" s="1675">
        <f>(D155*'B_02 Benefity varianty'!E$109*'B_02 Benefity varianty'!E$97)+(D155*'B_02 Benefity varianty'!E$110*'B_02 Benefity varianty'!E$98)+(D155*'B_02 Benefity varianty'!E$111*'B_02 Benefity varianty'!E$99)+(D155*'B_02 Benefity varianty'!E$112*'B_02 Benefity varianty'!E$100)+(D155*'B_02 Benefity varianty'!E$113*'B_02 Benefity varianty'!E$101)</f>
        <v>34040402.574562691</v>
      </c>
      <c r="E157" s="1675">
        <f>(E155*'B_02 Benefity varianty'!F$109*'B_02 Benefity varianty'!F$97)+(E155*'B_02 Benefity varianty'!F$110*'B_02 Benefity varianty'!F$98)+(E155*'B_02 Benefity varianty'!F$111*'B_02 Benefity varianty'!F$99)+(E155*'B_02 Benefity varianty'!F$112*'B_02 Benefity varianty'!F$100)+(E155*'B_02 Benefity varianty'!F$113*'B_02 Benefity varianty'!F$101)</f>
        <v>52287544.291662112</v>
      </c>
      <c r="F157" s="1675">
        <f>(F155*'B_02 Benefity varianty'!G$109*'B_02 Benefity varianty'!G$97)+(F155*'B_02 Benefity varianty'!G$110*'B_02 Benefity varianty'!G$98)+(F155*'B_02 Benefity varianty'!G$111*'B_02 Benefity varianty'!G$99)+(F155*'B_02 Benefity varianty'!G$112*'B_02 Benefity varianty'!G$100)+(F155*'B_02 Benefity varianty'!G$113*'B_02 Benefity varianty'!G$101)</f>
        <v>69405756.334149748</v>
      </c>
      <c r="G157" s="1675">
        <f>(G155*'B_02 Benefity varianty'!H$109*'B_02 Benefity varianty'!H$97)+(G155*'B_02 Benefity varianty'!H$110*'B_02 Benefity varianty'!H$98)+(G155*'B_02 Benefity varianty'!H$111*'B_02 Benefity varianty'!H$99)+(G155*'B_02 Benefity varianty'!H$112*'B_02 Benefity varianty'!H$100)+(G155*'B_02 Benefity varianty'!H$113*'B_02 Benefity varianty'!H$101)</f>
        <v>86864149.457179084</v>
      </c>
      <c r="H157" s="1675">
        <f>(H155*'B_02 Benefity varianty'!I$109*'B_02 Benefity varianty'!I$97)+(H155*'B_02 Benefity varianty'!I$110*'B_02 Benefity varianty'!I$98)+(H155*'B_02 Benefity varianty'!I$111*'B_02 Benefity varianty'!I$99)+(H155*'B_02 Benefity varianty'!I$112*'B_02 Benefity varianty'!I$100)+(H155*'B_02 Benefity varianty'!I$113*'B_02 Benefity varianty'!I$101)</f>
        <v>104679778.33687332</v>
      </c>
      <c r="I157" s="1675">
        <f>(I155*'B_02 Benefity varianty'!J$109*'B_02 Benefity varianty'!J$97)+(I155*'B_02 Benefity varianty'!J$110*'B_02 Benefity varianty'!J$98)+(I155*'B_02 Benefity varianty'!J$111*'B_02 Benefity varianty'!J$99)+(I155*'B_02 Benefity varianty'!J$112*'B_02 Benefity varianty'!J$100)+(I155*'B_02 Benefity varianty'!J$113*'B_02 Benefity varianty'!J$101)</f>
        <v>122870344.49050272</v>
      </c>
      <c r="J157" s="1676">
        <f>(J155*'B_02 Benefity varianty'!K$109*'B_02 Benefity varianty'!K$97)+(J155*'B_02 Benefity varianty'!K$110*'B_02 Benefity varianty'!K$98)+(J155*'B_02 Benefity varianty'!K$111*'B_02 Benefity varianty'!K$99)+(J155*'B_02 Benefity varianty'!K$112*'B_02 Benefity varianty'!K$100)+(J155*'B_02 Benefity varianty'!K$113*'B_02 Benefity varianty'!K$101)</f>
        <v>141454243.66825619</v>
      </c>
    </row>
    <row r="158" spans="1:12">
      <c r="B158" s="1438" t="s">
        <v>1650</v>
      </c>
      <c r="C158" s="1644">
        <f>C157*$C$150</f>
        <v>61069.708658481672</v>
      </c>
      <c r="D158" s="1645">
        <f t="shared" ref="D158:J158" si="53">D157*$C$150</f>
        <v>251898.97905176392</v>
      </c>
      <c r="E158" s="1645">
        <f t="shared" si="53"/>
        <v>386927.82775829965</v>
      </c>
      <c r="F158" s="1645">
        <f t="shared" si="53"/>
        <v>513602.59687270818</v>
      </c>
      <c r="G158" s="1645">
        <f t="shared" si="53"/>
        <v>642794.70598312526</v>
      </c>
      <c r="H158" s="1645">
        <f t="shared" si="53"/>
        <v>774630.35969286261</v>
      </c>
      <c r="I158" s="1645">
        <f t="shared" si="53"/>
        <v>909240.54922972014</v>
      </c>
      <c r="J158" s="1646">
        <f t="shared" si="53"/>
        <v>1046761.4031450959</v>
      </c>
    </row>
    <row r="159" spans="1:12">
      <c r="B159" s="1647" t="s">
        <v>681</v>
      </c>
      <c r="C159" s="1648">
        <f>SUM(C161,C163)</f>
        <v>81646.610880441265</v>
      </c>
      <c r="D159" s="1649">
        <f t="shared" ref="D159:J159" si="54">SUM(D161,D163)</f>
        <v>337656.91482701048</v>
      </c>
      <c r="E159" s="1649">
        <f t="shared" si="54"/>
        <v>519545.82318714162</v>
      </c>
      <c r="F159" s="1649">
        <f t="shared" si="54"/>
        <v>688505.29808765615</v>
      </c>
      <c r="G159" s="1649">
        <f t="shared" si="54"/>
        <v>860822.18626824522</v>
      </c>
      <c r="H159" s="1649">
        <f t="shared" si="54"/>
        <v>1036664.7719967484</v>
      </c>
      <c r="I159" s="1649">
        <f t="shared" si="54"/>
        <v>1216207.7219301877</v>
      </c>
      <c r="J159" s="1650">
        <f t="shared" si="54"/>
        <v>1399632.5526538081</v>
      </c>
      <c r="L159" s="1706"/>
    </row>
    <row r="160" spans="1:12">
      <c r="B160" s="1437" t="s">
        <v>1647</v>
      </c>
      <c r="C160" s="1506">
        <f>'B_01 Benefity súhrn'!E37</f>
        <v>11020833.241639875</v>
      </c>
      <c r="D160" s="1506">
        <f>'B_01 Benefity súhrn'!F37</f>
        <v>45152930.879425101</v>
      </c>
      <c r="E160" s="1506">
        <f>'B_01 Benefity súhrn'!G37</f>
        <v>68825445.905391738</v>
      </c>
      <c r="F160" s="1506">
        <f>'B_01 Benefity súhrn'!H37</f>
        <v>90350165.265111744</v>
      </c>
      <c r="G160" s="1506">
        <f>'B_01 Benefity súhrn'!I37</f>
        <v>111895837.91184977</v>
      </c>
      <c r="H160" s="1506">
        <f>'B_01 Benefity súhrn'!J37</f>
        <v>133475219.91296951</v>
      </c>
      <c r="I160" s="1506">
        <f>'B_01 Benefity súhrn'!K37</f>
        <v>155101336.47739023</v>
      </c>
      <c r="J160" s="1642">
        <f>'B_01 Benefity súhrn'!L37</f>
        <v>176787509.87005931</v>
      </c>
    </row>
    <row r="161" spans="1:10">
      <c r="B161" s="1437" t="s">
        <v>1649</v>
      </c>
      <c r="C161" s="1450">
        <f>C160*$C$149</f>
        <v>0</v>
      </c>
      <c r="D161" s="1368">
        <f t="shared" ref="D161" si="55">D160*$C$149</f>
        <v>0</v>
      </c>
      <c r="E161" s="1368">
        <f t="shared" ref="E161" si="56">E160*$C$149</f>
        <v>0</v>
      </c>
      <c r="F161" s="1368">
        <f t="shared" ref="F161" si="57">F160*$C$149</f>
        <v>0</v>
      </c>
      <c r="G161" s="1368">
        <f t="shared" ref="G161" si="58">G160*$C$149</f>
        <v>0</v>
      </c>
      <c r="H161" s="1368">
        <f t="shared" ref="H161" si="59">H160*$C$149</f>
        <v>0</v>
      </c>
      <c r="I161" s="1368">
        <f t="shared" ref="I161" si="60">I160*$C$149</f>
        <v>0</v>
      </c>
      <c r="J161" s="1451">
        <f t="shared" ref="J161" si="61">J160*$C$149</f>
        <v>0</v>
      </c>
    </row>
    <row r="162" spans="1:10">
      <c r="B162" s="1437" t="s">
        <v>1657</v>
      </c>
      <c r="C162" s="1675">
        <f>(C160*'B_02 Benefity varianty'!D$109*'B_02 Benefity varianty'!D$97)+(C160*'B_02 Benefity varianty'!D$110*'B_02 Benefity varianty'!D$98)+(C160*'B_02 Benefity varianty'!D$111*'B_02 Benefity varianty'!D$99)+(C160*'B_02 Benefity varianty'!D$112*'B_02 Benefity varianty'!D$100)+(C160*'B_02 Benefity varianty'!D$113*'B_02 Benefity varianty'!D$101)</f>
        <v>11033325.794654224</v>
      </c>
      <c r="D162" s="1675">
        <f>(D160*'B_02 Benefity varianty'!E$109*'B_02 Benefity varianty'!E$97)+(D160*'B_02 Benefity varianty'!E$110*'B_02 Benefity varianty'!E$98)+(D160*'B_02 Benefity varianty'!E$111*'B_02 Benefity varianty'!E$99)+(D160*'B_02 Benefity varianty'!E$112*'B_02 Benefity varianty'!E$100)+(D160*'B_02 Benefity varianty'!E$113*'B_02 Benefity varianty'!E$101)</f>
        <v>45629312.814460874</v>
      </c>
      <c r="E162" s="1675">
        <f>(E160*'B_02 Benefity varianty'!F$109*'B_02 Benefity varianty'!F$97)+(E160*'B_02 Benefity varianty'!F$110*'B_02 Benefity varianty'!F$98)+(E160*'B_02 Benefity varianty'!F$111*'B_02 Benefity varianty'!F$99)+(E160*'B_02 Benefity varianty'!F$112*'B_02 Benefity varianty'!F$100)+(E160*'B_02 Benefity varianty'!F$113*'B_02 Benefity varianty'!F$101)</f>
        <v>70208895.025289401</v>
      </c>
      <c r="F162" s="1675">
        <f>(F160*'B_02 Benefity varianty'!G$109*'B_02 Benefity varianty'!G$97)+(F160*'B_02 Benefity varianty'!G$110*'B_02 Benefity varianty'!G$98)+(F160*'B_02 Benefity varianty'!G$111*'B_02 Benefity varianty'!G$99)+(F160*'B_02 Benefity varianty'!G$112*'B_02 Benefity varianty'!G$100)+(F160*'B_02 Benefity varianty'!G$113*'B_02 Benefity varianty'!G$101)</f>
        <v>93041256.498331904</v>
      </c>
      <c r="G162" s="1675">
        <f>(G160*'B_02 Benefity varianty'!H$109*'B_02 Benefity varianty'!H$97)+(G160*'B_02 Benefity varianty'!H$110*'B_02 Benefity varianty'!H$98)+(G160*'B_02 Benefity varianty'!H$111*'B_02 Benefity varianty'!H$99)+(G160*'B_02 Benefity varianty'!H$112*'B_02 Benefity varianty'!H$100)+(G160*'B_02 Benefity varianty'!H$113*'B_02 Benefity varianty'!H$101)</f>
        <v>116327322.46868178</v>
      </c>
      <c r="H162" s="1675">
        <f>(H160*'B_02 Benefity varianty'!I$109*'B_02 Benefity varianty'!I$97)+(H160*'B_02 Benefity varianty'!I$110*'B_02 Benefity varianty'!I$98)+(H160*'B_02 Benefity varianty'!I$111*'B_02 Benefity varianty'!I$99)+(H160*'B_02 Benefity varianty'!I$112*'B_02 Benefity varianty'!I$100)+(H160*'B_02 Benefity varianty'!I$113*'B_02 Benefity varianty'!I$101)</f>
        <v>140089834.05361465</v>
      </c>
      <c r="I162" s="1675">
        <f>(I160*'B_02 Benefity varianty'!J$109*'B_02 Benefity varianty'!J$97)+(I160*'B_02 Benefity varianty'!J$110*'B_02 Benefity varianty'!J$98)+(I160*'B_02 Benefity varianty'!J$111*'B_02 Benefity varianty'!J$99)+(I160*'B_02 Benefity varianty'!J$112*'B_02 Benefity varianty'!J$100)+(I160*'B_02 Benefity varianty'!J$113*'B_02 Benefity varianty'!J$101)</f>
        <v>164352394.85543075</v>
      </c>
      <c r="J162" s="1676">
        <f>(J160*'B_02 Benefity varianty'!K$109*'B_02 Benefity varianty'!K$97)+(J160*'B_02 Benefity varianty'!K$110*'B_02 Benefity varianty'!K$98)+(J160*'B_02 Benefity varianty'!K$111*'B_02 Benefity varianty'!K$99)+(J160*'B_02 Benefity varianty'!K$112*'B_02 Benefity varianty'!K$100)+(J160*'B_02 Benefity varianty'!K$113*'B_02 Benefity varianty'!K$101)</f>
        <v>189139534.14240649</v>
      </c>
    </row>
    <row r="163" spans="1:10">
      <c r="B163" s="1651" t="s">
        <v>1650</v>
      </c>
      <c r="C163" s="1652">
        <f>C162*$C$150</f>
        <v>81646.610880441265</v>
      </c>
      <c r="D163" s="1385">
        <f t="shared" ref="D163" si="62">D162*$C$150</f>
        <v>337656.91482701048</v>
      </c>
      <c r="E163" s="1385">
        <f t="shared" ref="E163" si="63">E162*$C$150</f>
        <v>519545.82318714162</v>
      </c>
      <c r="F163" s="1385">
        <f t="shared" ref="F163" si="64">F162*$C$150</f>
        <v>688505.29808765615</v>
      </c>
      <c r="G163" s="1385">
        <f t="shared" ref="G163" si="65">G162*$C$150</f>
        <v>860822.18626824522</v>
      </c>
      <c r="H163" s="1385">
        <f t="shared" ref="H163" si="66">H162*$C$150</f>
        <v>1036664.7719967484</v>
      </c>
      <c r="I163" s="1385">
        <f t="shared" ref="I163" si="67">I162*$C$150</f>
        <v>1216207.7219301877</v>
      </c>
      <c r="J163" s="1653">
        <f t="shared" ref="J163" si="68">J162*$C$150</f>
        <v>1399632.5526538081</v>
      </c>
    </row>
    <row r="164" spans="1:10">
      <c r="B164" s="1476" t="s">
        <v>682</v>
      </c>
      <c r="C164" s="1477">
        <f>SUM(C170,C168,C166)</f>
        <v>123451.7396891416</v>
      </c>
      <c r="D164" s="1478">
        <f t="shared" ref="D164:J164" si="69">SUM(D170,D168,D166)</f>
        <v>489295.62381815113</v>
      </c>
      <c r="E164" s="1478">
        <f t="shared" si="69"/>
        <v>697968.14312436176</v>
      </c>
      <c r="F164" s="1478">
        <f t="shared" si="69"/>
        <v>904805.50711061386</v>
      </c>
      <c r="G164" s="1478">
        <f t="shared" si="69"/>
        <v>1120287.469144102</v>
      </c>
      <c r="H164" s="1478">
        <f t="shared" si="69"/>
        <v>1340201.8125728739</v>
      </c>
      <c r="I164" s="1478">
        <f t="shared" si="69"/>
        <v>1564767.3970630881</v>
      </c>
      <c r="J164" s="1479">
        <f t="shared" si="69"/>
        <v>1794211.6984954316</v>
      </c>
    </row>
    <row r="165" spans="1:10">
      <c r="B165" s="1437" t="s">
        <v>1647</v>
      </c>
      <c r="C165" s="1506">
        <f>'B_01 Benefity súhrn'!E53</f>
        <v>13798347.281381484</v>
      </c>
      <c r="D165" s="1506">
        <f>'B_01 Benefity súhrn'!F53</f>
        <v>56620849.871712632</v>
      </c>
      <c r="E165" s="1506">
        <f>'B_01 Benefity súhrn'!G53</f>
        <v>86393660.802158415</v>
      </c>
      <c r="F165" s="1506">
        <f>'B_01 Benefity súhrn'!H53</f>
        <v>113302040.8773647</v>
      </c>
      <c r="G165" s="1506">
        <f>'B_01 Benefity súhrn'!I53</f>
        <v>140236612.56134346</v>
      </c>
      <c r="H165" s="1506">
        <f>'B_01 Benefity súhrn'!J53</f>
        <v>167213320.93829939</v>
      </c>
      <c r="I165" s="1506">
        <f>'B_01 Benefity súhrn'!K53</f>
        <v>194248447.51938146</v>
      </c>
      <c r="J165" s="1642">
        <f>'B_01 Benefity súhrn'!L53</f>
        <v>221358645.13577411</v>
      </c>
    </row>
    <row r="166" spans="1:10">
      <c r="B166" s="1437" t="s">
        <v>1649</v>
      </c>
      <c r="C166" s="1450">
        <f>C165*$C$149</f>
        <v>0</v>
      </c>
      <c r="D166" s="1368">
        <f t="shared" ref="D166" si="70">D165*$C$149</f>
        <v>0</v>
      </c>
      <c r="E166" s="1368">
        <f t="shared" ref="E166" si="71">E165*$C$149</f>
        <v>0</v>
      </c>
      <c r="F166" s="1368">
        <f t="shared" ref="F166" si="72">F165*$C$149</f>
        <v>0</v>
      </c>
      <c r="G166" s="1368">
        <f t="shared" ref="G166" si="73">G165*$C$149</f>
        <v>0</v>
      </c>
      <c r="H166" s="1368">
        <f t="shared" ref="H166" si="74">H165*$C$149</f>
        <v>0</v>
      </c>
      <c r="I166" s="1368">
        <f t="shared" ref="I166" si="75">I165*$C$149</f>
        <v>0</v>
      </c>
      <c r="J166" s="1451">
        <f t="shared" ref="J166" si="76">J165*$C$149</f>
        <v>0</v>
      </c>
    </row>
    <row r="167" spans="1:10">
      <c r="B167" s="1437" t="s">
        <v>1657</v>
      </c>
      <c r="C167" s="1675">
        <f>(C165*'B_02 Benefity varianty'!D$109*'B_02 Benefity varianty'!D$97)+(C165*'B_02 Benefity varianty'!D$110*'B_02 Benefity varianty'!D$98)+(C165*'B_02 Benefity varianty'!D$111*'B_02 Benefity varianty'!D$99)+(C165*'B_02 Benefity varianty'!D$112*'B_02 Benefity varianty'!D$100)+(C165*'B_02 Benefity varianty'!D$113*'B_02 Benefity varianty'!D$101)</f>
        <v>13813988.257081196</v>
      </c>
      <c r="D167" s="1675">
        <f>(D165*'B_02 Benefity varianty'!E$109*'B_02 Benefity varianty'!E$97)+(D165*'B_02 Benefity varianty'!E$110*'B_02 Benefity varianty'!E$98)+(D165*'B_02 Benefity varianty'!E$111*'B_02 Benefity varianty'!E$99)+(D165*'B_02 Benefity varianty'!E$112*'B_02 Benefity varianty'!E$100)+(D165*'B_02 Benefity varianty'!E$113*'B_02 Benefity varianty'!E$101)</f>
        <v>57218223.054359064</v>
      </c>
      <c r="E167" s="1675">
        <f>(E165*'B_02 Benefity varianty'!F$109*'B_02 Benefity varianty'!F$97)+(E165*'B_02 Benefity varianty'!F$110*'B_02 Benefity varianty'!F$98)+(E165*'B_02 Benefity varianty'!F$111*'B_02 Benefity varianty'!F$99)+(E165*'B_02 Benefity varianty'!F$112*'B_02 Benefity varianty'!F$100)+(E165*'B_02 Benefity varianty'!F$113*'B_02 Benefity varianty'!F$101)</f>
        <v>88130245.758916691</v>
      </c>
      <c r="F167" s="1675">
        <f>(F165*'B_02 Benefity varianty'!G$109*'B_02 Benefity varianty'!G$97)+(F165*'B_02 Benefity varianty'!G$110*'B_02 Benefity varianty'!G$98)+(F165*'B_02 Benefity varianty'!G$111*'B_02 Benefity varianty'!G$99)+(F165*'B_02 Benefity varianty'!G$112*'B_02 Benefity varianty'!G$100)+(F165*'B_02 Benefity varianty'!G$113*'B_02 Benefity varianty'!G$101)</f>
        <v>116676756.66251408</v>
      </c>
      <c r="G167" s="1675">
        <f>(G165*'B_02 Benefity varianty'!H$109*'B_02 Benefity varianty'!H$97)+(G165*'B_02 Benefity varianty'!H$110*'B_02 Benefity varianty'!H$98)+(G165*'B_02 Benefity varianty'!H$111*'B_02 Benefity varianty'!H$99)+(G165*'B_02 Benefity varianty'!H$112*'B_02 Benefity varianty'!H$100)+(G165*'B_02 Benefity varianty'!H$113*'B_02 Benefity varianty'!H$101)</f>
        <v>145790495.4801845</v>
      </c>
      <c r="H167" s="1675">
        <f>(H165*'B_02 Benefity varianty'!I$109*'B_02 Benefity varianty'!I$97)+(H165*'B_02 Benefity varianty'!I$110*'B_02 Benefity varianty'!I$98)+(H165*'B_02 Benefity varianty'!I$111*'B_02 Benefity varianty'!I$99)+(H165*'B_02 Benefity varianty'!I$112*'B_02 Benefity varianty'!I$100)+(H165*'B_02 Benefity varianty'!I$113*'B_02 Benefity varianty'!I$101)</f>
        <v>175499889.77035594</v>
      </c>
      <c r="I167" s="1675">
        <f>(I165*'B_02 Benefity varianty'!J$109*'B_02 Benefity varianty'!J$97)+(I165*'B_02 Benefity varianty'!J$110*'B_02 Benefity varianty'!J$98)+(I165*'B_02 Benefity varianty'!J$111*'B_02 Benefity varianty'!J$99)+(I165*'B_02 Benefity varianty'!J$112*'B_02 Benefity varianty'!J$100)+(I165*'B_02 Benefity varianty'!J$113*'B_02 Benefity varianty'!J$101)</f>
        <v>205834445.22035867</v>
      </c>
      <c r="J167" s="1676">
        <f>(J165*'B_02 Benefity varianty'!K$109*'B_02 Benefity varianty'!K$97)+(J165*'B_02 Benefity varianty'!K$110*'B_02 Benefity varianty'!K$98)+(J165*'B_02 Benefity varianty'!K$111*'B_02 Benefity varianty'!K$99)+(J165*'B_02 Benefity varianty'!K$112*'B_02 Benefity varianty'!K$100)+(J165*'B_02 Benefity varianty'!K$113*'B_02 Benefity varianty'!K$101)</f>
        <v>236824824.61655673</v>
      </c>
    </row>
    <row r="168" spans="1:10">
      <c r="B168" s="1437" t="s">
        <v>1650</v>
      </c>
      <c r="C168" s="1450">
        <f>C167*$C$150</f>
        <v>102223.51310240086</v>
      </c>
      <c r="D168" s="1368">
        <f t="shared" ref="D168" si="77">D167*$C$150</f>
        <v>423414.85060225707</v>
      </c>
      <c r="E168" s="1368">
        <f t="shared" ref="E168" si="78">E167*$C$150</f>
        <v>652163.81861598359</v>
      </c>
      <c r="F168" s="1368">
        <f t="shared" ref="F168" si="79">F167*$C$150</f>
        <v>863407.99930260424</v>
      </c>
      <c r="G168" s="1368">
        <f t="shared" ref="G168" si="80">G167*$C$150</f>
        <v>1078849.6665533653</v>
      </c>
      <c r="H168" s="1368">
        <f t="shared" ref="H168" si="81">H167*$C$150</f>
        <v>1298699.1843006341</v>
      </c>
      <c r="I168" s="1368">
        <f t="shared" ref="I168" si="82">I167*$C$150</f>
        <v>1523174.8946306542</v>
      </c>
      <c r="J168" s="1451">
        <f t="shared" ref="J168" si="83">J167*$C$150</f>
        <v>1752503.7021625198</v>
      </c>
    </row>
    <row r="169" spans="1:10">
      <c r="B169" s="1437" t="s">
        <v>1658</v>
      </c>
      <c r="C169" s="1506">
        <f>'B_01 Benefity súhrn'!E52</f>
        <v>42456.453173481488</v>
      </c>
      <c r="D169" s="1507">
        <f>'B_01 Benefity súhrn'!F52-'B_01 Benefity súhrn'!E52</f>
        <v>131761.54643178816</v>
      </c>
      <c r="E169" s="1507">
        <f>'B_01 Benefity súhrn'!G52-'B_01 Benefity súhrn'!F52</f>
        <v>91608.649016756273</v>
      </c>
      <c r="F169" s="1507">
        <f>'B_01 Benefity súhrn'!H52-'B_01 Benefity súhrn'!G52</f>
        <v>82795.015616019315</v>
      </c>
      <c r="G169" s="1507">
        <f>'B_01 Benefity súhrn'!I52-'B_01 Benefity súhrn'!H52</f>
        <v>82875.605181473133</v>
      </c>
      <c r="H169" s="1507">
        <f>'B_01 Benefity súhrn'!J52-'B_01 Benefity súhrn'!I52</f>
        <v>83005.256544479751</v>
      </c>
      <c r="I169" s="1507">
        <f>'B_01 Benefity súhrn'!K52-'B_01 Benefity súhrn'!J52</f>
        <v>83185.004864867951</v>
      </c>
      <c r="J169" s="1508">
        <f>'B_01 Benefity súhrn'!L52-'B_01 Benefity súhrn'!K52</f>
        <v>83415.992665823549</v>
      </c>
    </row>
    <row r="170" spans="1:10" ht="12.75" thickBot="1">
      <c r="B170" s="1449" t="s">
        <v>1648</v>
      </c>
      <c r="C170" s="1452">
        <f>C169*$C$151</f>
        <v>21228.226586740744</v>
      </c>
      <c r="D170" s="1453">
        <f t="shared" ref="D170" si="84">D169*$C$151</f>
        <v>65880.773215894078</v>
      </c>
      <c r="E170" s="1453">
        <f t="shared" ref="E170" si="85">E169*$C$151</f>
        <v>45804.324508378137</v>
      </c>
      <c r="F170" s="1453">
        <f t="shared" ref="F170" si="86">F169*$C$151</f>
        <v>41397.507808009657</v>
      </c>
      <c r="G170" s="1453">
        <f t="shared" ref="G170" si="87">G169*$C$151</f>
        <v>41437.802590736566</v>
      </c>
      <c r="H170" s="1453">
        <f t="shared" ref="H170" si="88">H169*$C$151</f>
        <v>41502.628272239876</v>
      </c>
      <c r="I170" s="1453">
        <f t="shared" ref="I170" si="89">I169*$C$151</f>
        <v>41592.502432433976</v>
      </c>
      <c r="J170" s="1454">
        <f t="shared" ref="J170" si="90">J169*$C$151</f>
        <v>41707.996332911775</v>
      </c>
    </row>
    <row r="173" spans="1:10">
      <c r="A173" s="1265" t="s">
        <v>1374</v>
      </c>
    </row>
    <row r="174" spans="1:10">
      <c r="B174" s="1400" t="s">
        <v>1561</v>
      </c>
      <c r="C174" s="1401">
        <v>37</v>
      </c>
    </row>
    <row r="175" spans="1:10">
      <c r="B175" s="1402" t="s">
        <v>1385</v>
      </c>
      <c r="C175" s="1403">
        <v>0.1</v>
      </c>
    </row>
    <row r="176" spans="1:10" ht="12.75" thickBot="1"/>
    <row r="177" spans="2:15">
      <c r="B177" s="1404" t="s">
        <v>196</v>
      </c>
      <c r="C177" s="1405"/>
      <c r="D177" s="1406" t="s">
        <v>261</v>
      </c>
      <c r="E177" s="1405" t="s">
        <v>260</v>
      </c>
      <c r="F177" s="1406" t="s">
        <v>1565</v>
      </c>
      <c r="G177" s="1407" t="s">
        <v>1574</v>
      </c>
      <c r="H177" s="1405" t="s">
        <v>1376</v>
      </c>
      <c r="I177" s="1854" t="s">
        <v>1377</v>
      </c>
      <c r="J177" s="1855"/>
      <c r="K177" s="1855"/>
      <c r="L177" s="1856"/>
    </row>
    <row r="178" spans="2:15">
      <c r="B178" s="1860" t="s">
        <v>256</v>
      </c>
      <c r="C178" s="1861"/>
      <c r="D178" s="1408">
        <v>1</v>
      </c>
      <c r="E178" s="1409" t="s">
        <v>262</v>
      </c>
      <c r="F178" s="1410">
        <f>'N_032 BO Vendor 2'!E3</f>
        <v>2850000</v>
      </c>
      <c r="G178" s="1411"/>
      <c r="H178" s="1412">
        <f>D178*F178</f>
        <v>2850000</v>
      </c>
      <c r="I178" s="1833" t="s">
        <v>1379</v>
      </c>
      <c r="J178" s="1834"/>
      <c r="K178" s="1834"/>
      <c r="L178" s="1835"/>
      <c r="N178" s="635" t="s">
        <v>1725</v>
      </c>
    </row>
    <row r="179" spans="2:15">
      <c r="B179" s="1677" t="s">
        <v>1833</v>
      </c>
      <c r="C179" s="1678"/>
      <c r="D179" s="1408">
        <v>1</v>
      </c>
      <c r="E179" s="1409" t="s">
        <v>262</v>
      </c>
      <c r="F179" s="1410">
        <f>'N_031 IS ICL'!E64</f>
        <v>1284000</v>
      </c>
      <c r="G179" s="1411"/>
      <c r="H179" s="1412">
        <f>D179*F179</f>
        <v>1284000</v>
      </c>
      <c r="I179" s="1679"/>
      <c r="J179" s="1680"/>
      <c r="K179" s="1680"/>
      <c r="L179" s="1681"/>
    </row>
    <row r="180" spans="2:15">
      <c r="B180" s="1836" t="s">
        <v>1380</v>
      </c>
      <c r="C180" s="1837"/>
      <c r="D180" s="1415">
        <v>5</v>
      </c>
      <c r="E180" s="1416" t="s">
        <v>1381</v>
      </c>
      <c r="F180" s="1417"/>
      <c r="G180" s="1418">
        <f>F180</f>
        <v>0</v>
      </c>
      <c r="H180" s="1419">
        <f>D180*F180</f>
        <v>0</v>
      </c>
      <c r="I180" s="1830" t="s">
        <v>1382</v>
      </c>
      <c r="J180" s="1831"/>
      <c r="K180" s="1831"/>
      <c r="L180" s="1832"/>
    </row>
    <row r="181" spans="2:15">
      <c r="B181" s="1852" t="s">
        <v>1720</v>
      </c>
      <c r="C181" s="1853"/>
      <c r="D181" s="1415">
        <v>1</v>
      </c>
      <c r="E181" s="1416" t="s">
        <v>262</v>
      </c>
      <c r="F181" s="1417">
        <f>F178/5</f>
        <v>570000</v>
      </c>
      <c r="G181" s="1418"/>
      <c r="H181" s="1419">
        <f>D181*F181</f>
        <v>570000</v>
      </c>
      <c r="I181" s="1857"/>
      <c r="J181" s="1858"/>
      <c r="K181" s="1858"/>
      <c r="L181" s="1859"/>
    </row>
    <row r="182" spans="2:15">
      <c r="B182" s="1836" t="s">
        <v>1559</v>
      </c>
      <c r="C182" s="1837"/>
      <c r="D182" s="1415">
        <v>1</v>
      </c>
      <c r="E182" s="1416" t="s">
        <v>262</v>
      </c>
      <c r="F182" s="1423"/>
      <c r="G182" s="1424"/>
      <c r="H182" s="1419">
        <f t="shared" ref="H182:H192" si="91">D182*F182</f>
        <v>0</v>
      </c>
      <c r="I182" s="1830" t="s">
        <v>1384</v>
      </c>
      <c r="J182" s="1831"/>
      <c r="K182" s="1831"/>
      <c r="L182" s="1832"/>
    </row>
    <row r="183" spans="2:15">
      <c r="B183" s="1836" t="s">
        <v>1385</v>
      </c>
      <c r="C183" s="1837"/>
      <c r="D183" s="1415">
        <v>5</v>
      </c>
      <c r="E183" s="1416" t="s">
        <v>1381</v>
      </c>
      <c r="F183" s="1423"/>
      <c r="G183" s="1424">
        <f>F183</f>
        <v>0</v>
      </c>
      <c r="H183" s="1419">
        <f t="shared" si="91"/>
        <v>0</v>
      </c>
      <c r="I183" s="1830" t="s">
        <v>1386</v>
      </c>
      <c r="J183" s="1831"/>
      <c r="K183" s="1831"/>
      <c r="L183" s="1832"/>
    </row>
    <row r="184" spans="2:15">
      <c r="B184" s="1836" t="s">
        <v>1387</v>
      </c>
      <c r="C184" s="1837"/>
      <c r="D184" s="1415">
        <v>1</v>
      </c>
      <c r="E184" s="1416" t="s">
        <v>262</v>
      </c>
      <c r="F184" s="1423">
        <f>'N_031 IS ICL'!E60</f>
        <v>6003840</v>
      </c>
      <c r="G184" s="1424"/>
      <c r="H184" s="1419">
        <f t="shared" si="91"/>
        <v>6003840</v>
      </c>
      <c r="I184" s="1830" t="s">
        <v>1388</v>
      </c>
      <c r="J184" s="1831"/>
      <c r="K184" s="1831"/>
      <c r="L184" s="1832"/>
      <c r="N184" s="635" t="s">
        <v>1726</v>
      </c>
    </row>
    <row r="185" spans="2:15">
      <c r="B185" s="1836" t="s">
        <v>1389</v>
      </c>
      <c r="C185" s="1837"/>
      <c r="D185" s="1415">
        <v>60</v>
      </c>
      <c r="E185" s="1416" t="s">
        <v>1390</v>
      </c>
      <c r="F185" s="1423">
        <f>'N_032 BO Vendor 2'!E8</f>
        <v>125000</v>
      </c>
      <c r="G185" s="1424">
        <f>F185*12</f>
        <v>1500000</v>
      </c>
      <c r="H185" s="1419">
        <f t="shared" si="91"/>
        <v>7500000</v>
      </c>
      <c r="I185" s="1830" t="s">
        <v>1634</v>
      </c>
      <c r="J185" s="1831"/>
      <c r="K185" s="1831"/>
      <c r="L185" s="1832"/>
      <c r="N185" s="635" t="s">
        <v>1723</v>
      </c>
      <c r="O185" s="635" t="s">
        <v>1724</v>
      </c>
    </row>
    <row r="186" spans="2:15">
      <c r="B186" s="1413" t="s">
        <v>1660</v>
      </c>
      <c r="C186" s="1414"/>
      <c r="D186" s="1415"/>
      <c r="E186" s="1416"/>
      <c r="F186" s="1423"/>
      <c r="G186" s="1424">
        <f>F186*12</f>
        <v>0</v>
      </c>
      <c r="H186" s="1419"/>
      <c r="I186" s="1420"/>
      <c r="J186" s="1421"/>
      <c r="K186" s="1421"/>
      <c r="L186" s="1422"/>
    </row>
    <row r="187" spans="2:15">
      <c r="B187" s="1836" t="s">
        <v>1392</v>
      </c>
      <c r="C187" s="1837"/>
      <c r="D187" s="1415">
        <v>1454</v>
      </c>
      <c r="E187" s="1416" t="s">
        <v>1393</v>
      </c>
      <c r="F187" s="1423"/>
      <c r="G187" s="1424">
        <f>F187</f>
        <v>0</v>
      </c>
      <c r="H187" s="1419">
        <f t="shared" si="91"/>
        <v>0</v>
      </c>
      <c r="I187" s="1830" t="s">
        <v>1394</v>
      </c>
      <c r="J187" s="1831"/>
      <c r="K187" s="1831"/>
      <c r="L187" s="1832"/>
    </row>
    <row r="188" spans="2:15">
      <c r="B188" s="1836" t="s">
        <v>1395</v>
      </c>
      <c r="C188" s="1837"/>
      <c r="D188" s="1415">
        <v>5</v>
      </c>
      <c r="E188" s="1416"/>
      <c r="F188" s="1423"/>
      <c r="G188" s="1424">
        <f>F188</f>
        <v>0</v>
      </c>
      <c r="H188" s="1419">
        <f t="shared" si="91"/>
        <v>0</v>
      </c>
      <c r="I188" s="1830" t="s">
        <v>1396</v>
      </c>
      <c r="J188" s="1831"/>
      <c r="K188" s="1831"/>
      <c r="L188" s="1832"/>
    </row>
    <row r="189" spans="2:15">
      <c r="B189" s="1836" t="s">
        <v>1397</v>
      </c>
      <c r="C189" s="1837"/>
      <c r="D189" s="1415">
        <v>1</v>
      </c>
      <c r="E189" s="1416"/>
      <c r="F189" s="1423"/>
      <c r="G189" s="1424">
        <f>F189</f>
        <v>0</v>
      </c>
      <c r="H189" s="1419">
        <f t="shared" si="91"/>
        <v>0</v>
      </c>
      <c r="I189" s="1830" t="s">
        <v>1398</v>
      </c>
      <c r="J189" s="1831"/>
      <c r="K189" s="1831"/>
      <c r="L189" s="1832"/>
    </row>
    <row r="190" spans="2:15">
      <c r="B190" s="1836" t="s">
        <v>1399</v>
      </c>
      <c r="C190" s="1837"/>
      <c r="D190" s="1415">
        <v>1</v>
      </c>
      <c r="E190" s="1416" t="s">
        <v>262</v>
      </c>
      <c r="F190" s="1423">
        <f>'N_031 IS ICL'!E63</f>
        <v>250080</v>
      </c>
      <c r="G190" s="1424"/>
      <c r="H190" s="1419">
        <f t="shared" si="91"/>
        <v>250080</v>
      </c>
      <c r="I190" s="1830" t="s">
        <v>1632</v>
      </c>
      <c r="J190" s="1831"/>
      <c r="K190" s="1831"/>
      <c r="L190" s="1832"/>
    </row>
    <row r="191" spans="2:15">
      <c r="B191" s="1836" t="s">
        <v>1401</v>
      </c>
      <c r="C191" s="1837"/>
      <c r="D191" s="1415">
        <v>1</v>
      </c>
      <c r="E191" s="1416" t="s">
        <v>262</v>
      </c>
      <c r="F191" s="1423">
        <f>'N_031 IS ICL'!E63</f>
        <v>250080</v>
      </c>
      <c r="G191" s="1424"/>
      <c r="H191" s="1419">
        <f t="shared" si="91"/>
        <v>250080</v>
      </c>
      <c r="I191" s="1830" t="s">
        <v>1633</v>
      </c>
      <c r="J191" s="1831"/>
      <c r="K191" s="1831"/>
      <c r="L191" s="1832"/>
    </row>
    <row r="192" spans="2:15" ht="12.75" customHeight="1">
      <c r="B192" s="1836" t="s">
        <v>1403</v>
      </c>
      <c r="C192" s="1837"/>
      <c r="D192" s="1415">
        <v>1</v>
      </c>
      <c r="E192" s="1416" t="s">
        <v>262</v>
      </c>
      <c r="F192" s="1423">
        <f>'N_031 IS ICL'!E62</f>
        <v>549600</v>
      </c>
      <c r="G192" s="1424"/>
      <c r="H192" s="1419">
        <f t="shared" si="91"/>
        <v>549600</v>
      </c>
      <c r="I192" s="1830" t="s">
        <v>1404</v>
      </c>
      <c r="J192" s="1831"/>
      <c r="K192" s="1831"/>
      <c r="L192" s="1832"/>
    </row>
    <row r="193" spans="1:14" ht="12.75" thickBot="1">
      <c r="B193" s="1847" t="s">
        <v>1719</v>
      </c>
      <c r="C193" s="1848"/>
      <c r="D193" s="1425"/>
      <c r="E193" s="1426"/>
      <c r="F193" s="1674">
        <f>'N_031 IS ICL'!E61</f>
        <v>2012640</v>
      </c>
      <c r="G193" s="1427"/>
      <c r="H193" s="1428"/>
      <c r="I193" s="1849"/>
      <c r="J193" s="1850"/>
      <c r="K193" s="1850"/>
      <c r="L193" s="1851"/>
      <c r="N193" s="635" t="s">
        <v>1727</v>
      </c>
    </row>
    <row r="196" spans="1:14" ht="12.75" thickBot="1">
      <c r="A196" s="1265" t="s">
        <v>10</v>
      </c>
    </row>
    <row r="197" spans="1:14">
      <c r="B197" s="1435" t="s">
        <v>196</v>
      </c>
      <c r="C197" s="1433" t="s">
        <v>260</v>
      </c>
      <c r="D197" s="1432"/>
    </row>
    <row r="198" spans="1:14">
      <c r="B198" s="1436" t="s">
        <v>1640</v>
      </c>
      <c r="C198" s="1434" t="s">
        <v>1642</v>
      </c>
      <c r="D198" s="1430">
        <v>10</v>
      </c>
    </row>
    <row r="199" spans="1:14">
      <c r="B199" s="1438" t="s">
        <v>1641</v>
      </c>
      <c r="C199" s="1357" t="s">
        <v>1643</v>
      </c>
      <c r="D199" s="1439">
        <v>0.3</v>
      </c>
    </row>
    <row r="200" spans="1:14" ht="12.75" thickBot="1">
      <c r="B200" s="1440" t="s">
        <v>1644</v>
      </c>
      <c r="C200" s="1441"/>
      <c r="D200" s="1442">
        <f>D198*24*365*D199</f>
        <v>26280</v>
      </c>
    </row>
  </sheetData>
  <mergeCells count="42">
    <mergeCell ref="B193:C193"/>
    <mergeCell ref="I193:L193"/>
    <mergeCell ref="B181:C181"/>
    <mergeCell ref="I177:L177"/>
    <mergeCell ref="I183:L183"/>
    <mergeCell ref="I182:L182"/>
    <mergeCell ref="I190:L190"/>
    <mergeCell ref="I191:L191"/>
    <mergeCell ref="I181:L181"/>
    <mergeCell ref="I185:L185"/>
    <mergeCell ref="I187:L187"/>
    <mergeCell ref="I188:L188"/>
    <mergeCell ref="I189:L189"/>
    <mergeCell ref="I192:L192"/>
    <mergeCell ref="B178:C178"/>
    <mergeCell ref="B180:C180"/>
    <mergeCell ref="C96:D96"/>
    <mergeCell ref="E96:F96"/>
    <mergeCell ref="G96:H96"/>
    <mergeCell ref="D116:F116"/>
    <mergeCell ref="G116:I116"/>
    <mergeCell ref="I96:J96"/>
    <mergeCell ref="J116:L116"/>
    <mergeCell ref="J137:L137"/>
    <mergeCell ref="D144:F144"/>
    <mergeCell ref="G144:I144"/>
    <mergeCell ref="J144:L144"/>
    <mergeCell ref="D137:F137"/>
    <mergeCell ref="G137:I137"/>
    <mergeCell ref="B190:C190"/>
    <mergeCell ref="B191:C191"/>
    <mergeCell ref="B192:C192"/>
    <mergeCell ref="B182:C182"/>
    <mergeCell ref="B183:C183"/>
    <mergeCell ref="B184:C184"/>
    <mergeCell ref="B185:C185"/>
    <mergeCell ref="B187:C187"/>
    <mergeCell ref="I184:L184"/>
    <mergeCell ref="I178:L178"/>
    <mergeCell ref="I180:L180"/>
    <mergeCell ref="B188:C188"/>
    <mergeCell ref="B189:C189"/>
  </mergeCells>
  <phoneticPr fontId="70" type="noConversion"/>
  <pageMargins left="0.7" right="0.7" top="0.75" bottom="0.75" header="0.3" footer="0.3"/>
  <pageSetup paperSize="9" orientation="portrait" horizontalDpi="1200" verticalDpi="120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DD2E433B8A3124CAD1165CF14714363" ma:contentTypeVersion="12" ma:contentTypeDescription="Create a new document." ma:contentTypeScope="" ma:versionID="9c40879b13c2578b08b336435111cfd4">
  <xsd:schema xmlns:xsd="http://www.w3.org/2001/XMLSchema" xmlns:xs="http://www.w3.org/2001/XMLSchema" xmlns:p="http://schemas.microsoft.com/office/2006/metadata/properties" xmlns:ns2="953f28db-c88e-4103-a959-94b4f40db26a" xmlns:ns3="af205a3e-0808-480a-a658-0944bbaca017" targetNamespace="http://schemas.microsoft.com/office/2006/metadata/properties" ma:root="true" ma:fieldsID="5bbf4a07f5587e75dc3740d021a8267b" ns2:_="" ns3:_="">
    <xsd:import namespace="953f28db-c88e-4103-a959-94b4f40db26a"/>
    <xsd:import namespace="af205a3e-0808-480a-a658-0944bbaca01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3f28db-c88e-4103-a959-94b4f40db2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f205a3e-0808-480a-a658-0944bbaca017"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3E65F29-B9F0-49BB-8374-BC43B39B04B1}">
  <ds:schemaRefs>
    <ds:schemaRef ds:uri="http://schemas.microsoft.com/office/2006/metadata/contentType"/>
    <ds:schemaRef ds:uri="http://schemas.microsoft.com/office/2006/metadata/properties/metaAttributes"/>
    <ds:schemaRef ds:uri="http://www.w3.org/2000/xmlns/"/>
    <ds:schemaRef ds:uri="http://www.w3.org/2001/XMLSchema"/>
    <ds:schemaRef ds:uri="953f28db-c88e-4103-a959-94b4f40db26a"/>
    <ds:schemaRef ds:uri="af205a3e-0808-480a-a658-0944bbaca017"/>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7ECCFF4-D5EE-4167-B123-E9E72115E574}">
  <ds:schemaRefs>
    <ds:schemaRef ds:uri="http://schemas.microsoft.com/sharepoint/v3/contenttype/forms"/>
  </ds:schemaRefs>
</ds:datastoreItem>
</file>

<file path=customXml/itemProps3.xml><?xml version="1.0" encoding="utf-8"?>
<ds:datastoreItem xmlns:ds="http://schemas.openxmlformats.org/officeDocument/2006/customXml" ds:itemID="{F2D2410A-A8F6-403B-BBDD-32DF059A4CE8}">
  <ds:schemaRefs>
    <ds:schemaRef ds:uri="http://schemas.microsoft.com/office/2006/metadata/properties"/>
    <ds:schemaRef ds:uri="http://www.w3.org/2000/xmlns/"/>
    <ds:schemaRef ds:uri="http://schemas.microsoft.com/office/infopath/2007/PartnerControls"/>
  </ds:schemaRefs>
</ds:datastoreItem>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49</vt:i4>
      </vt:variant>
      <vt:variant>
        <vt:lpstr>Pomenované rozsahy</vt:lpstr>
      </vt:variant>
      <vt:variant>
        <vt:i4>2</vt:i4>
      </vt:variant>
    </vt:vector>
  </HeadingPairs>
  <TitlesOfParts>
    <vt:vector size="51" baseType="lpstr">
      <vt:lpstr>Index</vt:lpstr>
      <vt:lpstr>Súhrn CBA</vt:lpstr>
      <vt:lpstr>Skore</vt:lpstr>
      <vt:lpstr>V_01 Varianty</vt:lpstr>
      <vt:lpstr>V_11 Varianty Validacia</vt:lpstr>
      <vt:lpstr>V_12 Varianty Zariadenia</vt:lpstr>
      <vt:lpstr>N_01 Náklady súhrn</vt:lpstr>
      <vt:lpstr>Náklady 2</vt:lpstr>
      <vt:lpstr>N_02 Vstupy</vt:lpstr>
      <vt:lpstr>N_03 Prieskum BO</vt:lpstr>
      <vt:lpstr>N_031 BO Vendor 1</vt:lpstr>
      <vt:lpstr>N_031 IS ICL</vt:lpstr>
      <vt:lpstr>N_032 BO Vendor 2</vt:lpstr>
      <vt:lpstr>N_033 Prieskum zariadenia</vt:lpstr>
      <vt:lpstr>N_04 Kampaň médiá</vt:lpstr>
      <vt:lpstr>N_042 Kampaň agentura</vt:lpstr>
      <vt:lpstr>Výnosy</vt:lpstr>
      <vt:lpstr>B_01 Benefity súhrn</vt:lpstr>
      <vt:lpstr>B_011 Matica Benefity</vt:lpstr>
      <vt:lpstr>B_02 Benefity varianty</vt:lpstr>
      <vt:lpstr>B_03 Súhrn-vstupy a projekcie</vt:lpstr>
      <vt:lpstr>DM_01_SR počet preprav. osôb</vt:lpstr>
      <vt:lpstr>DM_02_SR výkony</vt:lpstr>
      <vt:lpstr>DM_03_Kraje počet cest. CVD,PAD</vt:lpstr>
      <vt:lpstr>DM_04_Kraje výkony CVD,PAD</vt:lpstr>
      <vt:lpstr>DM_05_Kraje jazdy PAD</vt:lpstr>
      <vt:lpstr>DM_06_Kraje km PAD </vt:lpstr>
      <vt:lpstr>DM_08_Kraje tržby PAD</vt:lpstr>
      <vt:lpstr>DM_09_MHD počet cest.</vt:lpstr>
      <vt:lpstr>DM_10_MHD výkony</vt:lpstr>
      <vt:lpstr>DM_11_MHD jazdy</vt:lpstr>
      <vt:lpstr>DM_12_MHD km</vt:lpstr>
      <vt:lpstr>DM_13_MHD tržby</vt:lpstr>
      <vt:lpstr>DM_xx_SR_železnice_ukazovat </vt:lpstr>
      <vt:lpstr>DM_xx_SR_IAD_ukazovatele</vt:lpstr>
      <vt:lpstr>DM_14_Vplyv ITC na počet cest. </vt:lpstr>
      <vt:lpstr>DM_15_Vplyv na rýchlosť vybav.</vt:lpstr>
      <vt:lpstr>DM_16_Vyvoj cien cest. lístkov</vt:lpstr>
      <vt:lpstr>DM_xx_Formy nakupu listkov</vt:lpstr>
      <vt:lpstr>DM_xx_Distribúcia presunu</vt:lpstr>
      <vt:lpstr>DM_xx_Prejazdené km</vt:lpstr>
      <vt:lpstr>DM_xx_Doba nákupu lístkov</vt:lpstr>
      <vt:lpstr>Mapa benefitov</vt:lpstr>
      <vt:lpstr>Počty vozidiel</vt:lpstr>
      <vt:lpstr>Počty obyvateľov</vt:lpstr>
      <vt:lpstr>Data SU</vt:lpstr>
      <vt:lpstr>Dáta technológie</vt:lpstr>
      <vt:lpstr>Predajné kanály</vt:lpstr>
      <vt:lpstr>Analýza časov vybavenia</vt:lpstr>
      <vt:lpstr>'Počty obyvateľov'!Oblasť_tlače</vt:lpstr>
      <vt:lpstr>'V_01 Varianty'!Oblasť_tlače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Mraz, Rene</dc:creator>
  <cp:lastModifiedBy>Kalafut, Michal</cp:lastModifiedBy>
  <cp:lastPrinted>2024-05-22T16:25:01Z</cp:lastPrinted>
  <dcterms:created xsi:type="dcterms:W3CDTF">2015-06-05T18:17:20Z</dcterms:created>
  <dcterms:modified xsi:type="dcterms:W3CDTF">2024-06-11T11:39:32Z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0x010100FDD2E433B8A3124CAD1165CF14714363</vt:lpwstr>
  </property>
</Properties>
</file>